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225" codeName="{AE6600E7-7A62-396C-DE95-9942FA9DD81E}"/>
  <workbookPr codeName="ThisWorkbook"/>
  <bookViews>
    <workbookView xWindow="65428" yWindow="65428" windowWidth="23256" windowHeight="12576" tabRatio="828" firstSheet="4" activeTab="9"/>
  </bookViews>
  <sheets>
    <sheet name="Data extraction-synthesis" sheetId="1" r:id="rId1"/>
    <sheet name="Input TPP scoping phase source" sheetId="4" r:id="rId2"/>
    <sheet name="Input source drafting TPP" sheetId="3" r:id="rId3"/>
    <sheet name="Input source analytic accuracy" sheetId="30" r:id="rId4"/>
    <sheet name="Input source diagn accuracy" sheetId="5" r:id="rId5"/>
    <sheet name="Decision-making steps" sheetId="7" r:id="rId6"/>
    <sheet name="Stakeholders involved" sheetId="20" r:id="rId7"/>
    <sheet name="Transparency checklist" sheetId="22" r:id="rId8"/>
    <sheet name="Draft TPP " sheetId="28" r:id="rId9"/>
    <sheet name="Additional data part 1" sheetId="31" r:id="rId10"/>
    <sheet name="Additional data part 2" sheetId="32" r:id="rId11"/>
    <sheet name="Percentages" sheetId="12" r:id="rId12"/>
    <sheet name="Settings" sheetId="2" r:id="rId1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<sst xmlns="http://schemas.openxmlformats.org/spreadsheetml/2006/main" count="3573" uniqueCount="587">
  <si>
    <t>Date of data extraction</t>
  </si>
  <si>
    <t>Author(s)</t>
  </si>
  <si>
    <t>Article title</t>
  </si>
  <si>
    <t>Year</t>
  </si>
  <si>
    <t>Type of publication</t>
  </si>
  <si>
    <t>Disease area</t>
  </si>
  <si>
    <t>Test(s) being assessed</t>
  </si>
  <si>
    <t>Type of TPP</t>
  </si>
  <si>
    <t>Type of input sources selected to populate the TPP(s) of interest</t>
  </si>
  <si>
    <t>How the quantitative TPP test characteristic (especially sensitivity and specificity) are reported</t>
  </si>
  <si>
    <t xml:space="preserve">Which decision-making steps underlying the development of TPP(s) of interest </t>
  </si>
  <si>
    <t>Chua, A. P., I.: Nuebling, C. M.: Wood, D.: Moussy, F.</t>
  </si>
  <si>
    <t>Update on Zika Diagnostic Tests and WHO's Related Activities</t>
  </si>
  <si>
    <t xml:space="preserve">To guide manufacturers to design a test that meets certain needs </t>
  </si>
  <si>
    <t>Consensus-based</t>
  </si>
  <si>
    <t>Consensus meeting inputs</t>
  </si>
  <si>
    <t>Range</t>
  </si>
  <si>
    <t>N/A</t>
  </si>
  <si>
    <t>NO</t>
  </si>
  <si>
    <t>Denkinger, C. M. D., D.: Schito, M.: Wells, W.: Cobelens, F.: Pai, M.: Zignol, M.: Cirillo, D. M.: Alland, D.: Casenghi, M.: Gallarda, J.: Boehme, C. C.: Perkins, M. D</t>
  </si>
  <si>
    <t>Target Product Profile of a Molecular Drug-Susceptibility Test for Use in Microscopy Centers</t>
  </si>
  <si>
    <t>YES</t>
  </si>
  <si>
    <t>Denkinger, C. M. K., Sandra V.: Cirillo, Daniela Maria: Casenghi, Martina: Shinnick, Thomas: Weyer, Karin: Gilpin, Chris: Boehme, Catharina C.: Schito, Marco: Kimerling, Michael: Pai, Madhuka</t>
  </si>
  <si>
    <t>Defining the needs for next generation assays for tuberculosis</t>
  </si>
  <si>
    <t>To identify needs for new products</t>
  </si>
  <si>
    <t>DIAMETER Project, PATH</t>
  </si>
  <si>
    <t>Point-of-Care Malaria Infection Detection Test For rapid detection of low-density, subclinical malaria infections</t>
  </si>
  <si>
    <t>Report</t>
  </si>
  <si>
    <t xml:space="preserve">N/A </t>
  </si>
  <si>
    <t>Literature</t>
  </si>
  <si>
    <t>Absolute value</t>
  </si>
  <si>
    <t>Ding, X. C. A., Maria Paz: Baird, J. Kevin: Cheng, Qin: Cunningham, Jane: Dhorda, Mehul: Drakeley, Chris: Felger, Ingrid: Gamboa, Dionicia: Harbers, Matthias: Herrera, Socrates: Lucchi, Naomi: Mayor, Alfredo: Mueller, Ivo: Sattabongkot, Jetsumon: Ratsimbason, Arsène: Richards, Jack: Tanner, Marcel: González, Iveth J.</t>
  </si>
  <si>
    <t>Defining the next generation of Plasmodium vivax diagnostic tests for control and elimination: Target product profiles</t>
  </si>
  <si>
    <t xml:space="preserve">Literature </t>
  </si>
  <si>
    <t>Dittrich, S. T., B. T.: Moussy, F.: Chua, A.: Zorzet, A.: Tangden, T.: Dolinger, D. L.: Page, A. L.: Crump, J. A.: Valerie, D.: Bassat, Q.: Lubell, Y.: Heinrich, N.: Newton, P. N.: Rodwell, T.: Gonzalez, I. J.</t>
  </si>
  <si>
    <t>Target Product Profile for a Diagnostic Assay to Differentiate between Bacterial and Non-Bacterial Infections to Guide Antimicrobials Use in Resource-Limited Settings: An Expert Consensus</t>
  </si>
  <si>
    <t>WHO</t>
  </si>
  <si>
    <t xml:space="preserve">High-priority target product profile for hepatitis C diagnosis in decentralized settings: Report of a consensus meeting. </t>
  </si>
  <si>
    <t>Gal, M. F., N. A.: Hood, K.: Villacian, J.: Goossens, H.: Watkins, A.: Butler, C. C.</t>
  </si>
  <si>
    <t>Matching diagnostics development to clinical need: Target product profile development for a point of care test for community-acquired lower respiratory tract infection</t>
  </si>
  <si>
    <t>Absolute value and range</t>
  </si>
  <si>
    <t xml:space="preserve">Lim, M. D. B., S. J.: Belizario, V. Y., Jr.: Gay-Andrieu, F.: Gilleard, J.: Levecke, B.: Lieshout, L. van: Medley, G. F.: Mekonnen, Z.: Mirams, G.: Njenga, S. M.: Odiere, M. R.: Rudge, J. W.: Stuyver, L.: Vercruysse, J.: Vlaminck, J.: Walson, J. L. </t>
  </si>
  <si>
    <t>Diagnostic tools for soil-transmitted helminths control and elimination programs: a pathway for diagnostic product development</t>
  </si>
  <si>
    <t>Nsanzabana, C. A., Frederic: Beck, Hans-Peter: Ding, Xavier C.: Kamau, Edwin: Krishna, Sanjeev: Legrand, Eric: Lucchi, Naomi: Miotto, Olivo: Nag, Sidsel: Noedl, Harald: Roper, Cally: Rosenthal, Philip J.: Schallig, Henk D. F. H.: Taylor, Steve M.: Volkman, Sarah K.: Gonzalez, Iveth J.</t>
  </si>
  <si>
    <t>Molecular assays for antimalarial drug resistance surveillance: A target product profile</t>
  </si>
  <si>
    <t>Porras, A. I. Y., Z. E.: Altcheh, J.: Britto, C.: Chaves, G. C.: Flevaud, L.: Martins, O. A.: Ribeiro, I.: Schijman, A. G.: Shikanai-Yasuda, M. A.: Sosa-Estani, S.: Stobbaerts, E.: Zicker, F.</t>
  </si>
  <si>
    <t>Target Product Profile (TPP) for Chagas Disease Point-of-Care Diagnosis and Assessment of Response to Treatmen</t>
  </si>
  <si>
    <t>To outline the desirable product characteristics</t>
  </si>
  <si>
    <t>Reipold, E. I. E., Philippa: Trianni, Alessandra: Panneer, Nivedha: Krakower, Douglas: Ongarello, Stefano: Roberts, Teri: Miller, Veronica: Denkinger, Claudia</t>
  </si>
  <si>
    <t>Optimising diagnosis of viraemic hepatitis C infection: the development of a target product profile</t>
  </si>
  <si>
    <t>Solomon, A. W. E., D.: Bailey, R. L.: Blake, I. M.: Brooker, S.: Chen, J. X.: Chen, J. H.: Churcher, T. S.: Drakeley, C. J.: Edwards, T.: Fenwick, A.: French, M.: Gabrielli, A. F.: Grassly, N. C.: Harding-Esch, E. M.: Holland, M. J.: Koukounari, A.: Lammie, P. J.: Leslie, J.: Mabey, D. C.: Rhajaoui, M.: Secor, W. E.: Stothard, J. R.: Wei, H.: Willingham, A. L.: Zhou, X. N.: Peeling, R. W.</t>
  </si>
  <si>
    <t>A diagnostics platform for the integrated mapping, monitoring, and surveillance of neglected tropical diseases: Rationale and target product profiles</t>
  </si>
  <si>
    <t xml:space="preserve">Other </t>
  </si>
  <si>
    <t>Toskin, I. M., M.: Peeling, R. W.: Blondeel, K.: Cordero, J.: Kiarie, J.</t>
  </si>
  <si>
    <t>Advancing prevention of sexually transmitted infections through point-of-care testing: target product profiles and landscape analysis</t>
  </si>
  <si>
    <t>Donadeu, M. F., A. S.: Olliaro, P. L.: Abela-Ridder, B</t>
  </si>
  <si>
    <t>Target product profiles for the diagnosis of Taenia solium taeniasis, neurocysticercosis and porcine cysticercosis</t>
  </si>
  <si>
    <t>Reports</t>
  </si>
  <si>
    <t>FIND</t>
  </si>
  <si>
    <t>Target Product Profile for Tests for Recent HIV Infection</t>
  </si>
  <si>
    <t>Target Product Profile: Rapid test for diagnosis of malaria and screening for hyman African trypanosomiasis (HAT)</t>
  </si>
  <si>
    <t>PATH</t>
  </si>
  <si>
    <t>Target Product Profile: HIV Self-Test Version 4.1: A White Paper on the Evaluation of Current HIV Rapid Tests and Development of Core Specifications for Next-Generation HIV Tests</t>
  </si>
  <si>
    <t>Diagnostics for neglected tropical diseases: Defining the best tools through target product profiles</t>
  </si>
  <si>
    <t>Target Product Profile: Schistosomiasis Surveillance Diagnostic</t>
  </si>
  <si>
    <t>UNICEF</t>
  </si>
  <si>
    <t>UNICEF Target Product Profile Rapid E.coli Detection (version 2.0)</t>
  </si>
  <si>
    <t>UNICEF Target Product Profile Rapid E.coli Detection (1.4)</t>
  </si>
  <si>
    <t>High-priority target product profile for new tubercolosis diagnostics: report of a consensus meeting</t>
  </si>
  <si>
    <t>Development of a Target Product Profile (TPP) and framework for evaluation for a test predicting progression from tubercolosis infection to active disease</t>
  </si>
  <si>
    <t>Specifications for a rapid diagnostic test for meningitis African meningitis belt/ Target product profile for the development of a new generation of rapid test for the diagnosis of bacterial meningitis</t>
  </si>
  <si>
    <t>Target Product Profile for Zaire ebolavirus rapid,simple test to be used in the control of the Ebola outbreak in West Africa</t>
  </si>
  <si>
    <t>Report of WHO-FIND meeting on diagnostics for Buruli ulcer</t>
  </si>
  <si>
    <t>Taenia solium taeniasis/cysticercosis diagnostic tools. Report of a stakeholder meeting</t>
  </si>
  <si>
    <t>Draft document</t>
  </si>
  <si>
    <t>Utzinger, J. B., S. L.: van Lieshout, L.: van Dam, G. J.: Knopp, S</t>
  </si>
  <si>
    <t>New diagnostic tools in schistosomiasis</t>
  </si>
  <si>
    <t>Zika Virus Diagnostics: Target Product Profiles &amp; Supply Update</t>
  </si>
  <si>
    <t>Pneumonia Acute Respiratory Infection Diagnostic Aid-Target Product Profile Introduction</t>
  </si>
  <si>
    <t>No quantities reported</t>
  </si>
  <si>
    <t>Pal S, Jasper L.E., Lawrence K.L, Walter M</t>
  </si>
  <si>
    <t>Assessing the Dengue Diagnosis Capability Gap in the Military Health System</t>
  </si>
  <si>
    <t>Interview-based</t>
  </si>
  <si>
    <t>Other</t>
  </si>
  <si>
    <t>Target Product Profile: Schistosomiasis Surveillance Diagnostic Lateral Flow Test CAA antigen</t>
  </si>
  <si>
    <t>Target Product Profile: Trachoma Surveillance Diagnostic-Post-Elimination Surveillance Antibody Lateral Flow Test</t>
  </si>
  <si>
    <t>International Diagnostics Centre (IDC)</t>
  </si>
  <si>
    <t>Target Product Profile (TPP) - Point-of-Care HIV Viral Load Test</t>
  </si>
  <si>
    <t>Published TPP</t>
  </si>
  <si>
    <t>Input source not reported</t>
  </si>
  <si>
    <t>Target Product Profile (TPP)- Point of care CD4 test</t>
  </si>
  <si>
    <t>Target Product Profile (TPP): Point of care EID test</t>
  </si>
  <si>
    <t>Internationa Diagnostics Centre (IDC)</t>
  </si>
  <si>
    <t>Target Product Profile (TPP): Combined HIV/Syphilis Test</t>
  </si>
  <si>
    <t>Ebels, K. B. C., C.: Crudder, C. H.: McGray, S.: Magnuson, K.: Tietje, K.: Labarre, P</t>
  </si>
  <si>
    <t>Incorporating user needs into product development for improved infection detection for malaria elimination programs</t>
  </si>
  <si>
    <t>Interviews with experts</t>
  </si>
  <si>
    <t>Ethnographic interviews</t>
  </si>
  <si>
    <t>Target Product Profile: Screening test for human African trypanosomiasis (HAT)</t>
  </si>
  <si>
    <t>Target Product Profile: Trachoma surveillance diagnostic-antigen lateral flow test</t>
  </si>
  <si>
    <t>Peck, R. B. W., J. D.: Boettcher, M. G.: Downing</t>
  </si>
  <si>
    <t>Defining product requirements for field deployable yellow fever tests</t>
  </si>
  <si>
    <t>Poster</t>
  </si>
  <si>
    <t>Target Product Profile: Schistosomiasis Surveillance Diagnostic - schistosoma genus-specific antibody lateral flow test post-elimination surveillance</t>
  </si>
  <si>
    <t>Objective TPP</t>
  </si>
  <si>
    <t>Decision-making steps underlying the development of TPP(s) of interest</t>
  </si>
  <si>
    <t>Type of stakeholders involved</t>
  </si>
  <si>
    <t>Journal article</t>
  </si>
  <si>
    <t>Consensus/public meeting</t>
  </si>
  <si>
    <t>Industry standard</t>
  </si>
  <si>
    <t>Mathematical models</t>
  </si>
  <si>
    <t xml:space="preserve">Meeting with experts/stakeholders </t>
  </si>
  <si>
    <t>Clinicians</t>
  </si>
  <si>
    <t>Guidelines</t>
  </si>
  <si>
    <t>Feedback from the consultation (e.g. survey, meeting, expert opinion) is incorporated into the final TPPs</t>
  </si>
  <si>
    <t>Laboratory experts</t>
  </si>
  <si>
    <t xml:space="preserve">Mapping  </t>
  </si>
  <si>
    <t>Policy makers</t>
  </si>
  <si>
    <t xml:space="preserve">Market analyses </t>
  </si>
  <si>
    <t>Test developers</t>
  </si>
  <si>
    <t xml:space="preserve">Literature search </t>
  </si>
  <si>
    <t>Implementers</t>
  </si>
  <si>
    <t>Available data</t>
  </si>
  <si>
    <t>Policies</t>
  </si>
  <si>
    <t xml:space="preserve">Survey to retrieve input relevant for TPP </t>
  </si>
  <si>
    <t>Representatives of countries and national disease programs</t>
  </si>
  <si>
    <t>Websites of developers</t>
  </si>
  <si>
    <t xml:space="preserve">Landscaping exercise </t>
  </si>
  <si>
    <t>Patient/community advocates</t>
  </si>
  <si>
    <t>Laboratory evaluations</t>
  </si>
  <si>
    <t>Draft TPP</t>
  </si>
  <si>
    <t xml:space="preserve">Models </t>
  </si>
  <si>
    <t>Data available</t>
  </si>
  <si>
    <t>Round of revisions of TPP</t>
  </si>
  <si>
    <t>Non-profit sector</t>
  </si>
  <si>
    <t xml:space="preserve">Early usability studies </t>
  </si>
  <si>
    <t>Modelers</t>
  </si>
  <si>
    <t>Presentation of shortened TPP to large stakeholder audience</t>
  </si>
  <si>
    <t>Market experts</t>
  </si>
  <si>
    <t>Identification of most important needs</t>
  </si>
  <si>
    <t>Health economists</t>
  </si>
  <si>
    <t>Data analysis</t>
  </si>
  <si>
    <t xml:space="preserve">Definition problem statement/use case  </t>
  </si>
  <si>
    <t xml:space="preserve">Technical/funding agencies </t>
  </si>
  <si>
    <t xml:space="preserve">Identification of stakeholders to involve in draft TPP </t>
  </si>
  <si>
    <t>Microbiologists</t>
  </si>
  <si>
    <t xml:space="preserve">Definition TPP domains </t>
  </si>
  <si>
    <t xml:space="preserve">Survey to measure stakeholder’s preferences and agreement </t>
  </si>
  <si>
    <t>Industry (unspecific)</t>
  </si>
  <si>
    <t>Reviewing available literature and data</t>
  </si>
  <si>
    <t xml:space="preserve">Defining scope TPP </t>
  </si>
  <si>
    <t>Interview with stakeholders</t>
  </si>
  <si>
    <t>Scientific associations</t>
  </si>
  <si>
    <t xml:space="preserve">Field research </t>
  </si>
  <si>
    <t>Strategists</t>
  </si>
  <si>
    <t>Consolidation of findings</t>
  </si>
  <si>
    <t>Number of test being assessed</t>
  </si>
  <si>
    <t>Surveys with experts/expert opinion</t>
  </si>
  <si>
    <t>Field observations</t>
  </si>
  <si>
    <t>Type of input sources considered during scoping phase</t>
  </si>
  <si>
    <t>Type(s) of sources to inform accuracy-related test characteristics</t>
  </si>
  <si>
    <t>(Lowest) acceptable specification</t>
  </si>
  <si>
    <t>Set to provide a distinguishing advantage over existing solution</t>
  </si>
  <si>
    <t>Must-have characteristics</t>
  </si>
  <si>
    <t>No minimal test characteristic reported</t>
  </si>
  <si>
    <t>Definition of minimal test characteristics</t>
  </si>
  <si>
    <t>Definition of optimal test characteristics</t>
  </si>
  <si>
    <t xml:space="preserve"> Ideal value for that characteristic</t>
  </si>
  <si>
    <t xml:space="preserve">Value that provides optimal diagnostic effectiveness </t>
  </si>
  <si>
    <t>Nice-to-have characteristics</t>
  </si>
  <si>
    <t xml:space="preserve">Ideal values that would make a tool more attractive/valuable </t>
  </si>
  <si>
    <t>Academia/researchers</t>
  </si>
  <si>
    <t xml:space="preserve">International/public health institution (e.g. WHO) </t>
  </si>
  <si>
    <t>Experts (unspecific)</t>
  </si>
  <si>
    <t xml:space="preserve"> Program manager</t>
  </si>
  <si>
    <t xml:space="preserve">Types of stakeholders involved </t>
  </si>
  <si>
    <t>INPUT SOURCE TO POPULATE TPP</t>
  </si>
  <si>
    <t>More than 1 input source?</t>
  </si>
  <si>
    <t>% STUDIES WITH 1 INPUT SOURCE</t>
  </si>
  <si>
    <t>% STUDIES WITH &gt;1 INPUT SOURCE</t>
  </si>
  <si>
    <t>TOT</t>
  </si>
  <si>
    <t>MAYBE I HAVE TO RESCALE PERCENTAGES INTO 100%?</t>
  </si>
  <si>
    <t>No scoping phase reported</t>
  </si>
  <si>
    <t>STAKEHOLDERS INVOLVED TO DEVELOP A TPP</t>
  </si>
  <si>
    <t xml:space="preserve">International/public health institution </t>
  </si>
  <si>
    <t>Draft shortened TPP</t>
  </si>
  <si>
    <t xml:space="preserve">Prioritization exercise </t>
  </si>
  <si>
    <t>Delphi-like approach to gauge stakeholders’ agreement with the TPP</t>
  </si>
  <si>
    <t>Title</t>
  </si>
  <si>
    <t>Transparency checklist</t>
  </si>
  <si>
    <t>UNICEF Target Product Profile Rapid E.coli Detection (version 1.4)</t>
  </si>
  <si>
    <t>Specifications for a rapid diagnostic test for meningitis African meningitis belt</t>
  </si>
  <si>
    <t>Target Product Profile: Point of care EID test</t>
  </si>
  <si>
    <t>n</t>
  </si>
  <si>
    <t>%</t>
  </si>
  <si>
    <t>Based on an existing one</t>
  </si>
  <si>
    <t>Zika virus</t>
  </si>
  <si>
    <t>Meeting with experts/stakeholders , Draft TPP, Consensus/public meeting, Feedback from the consultation (e.g. survey, meeting, expert opinion) is incorporated into the final TPPs</t>
  </si>
  <si>
    <t>x</t>
  </si>
  <si>
    <t>Tubercolosis</t>
  </si>
  <si>
    <t>Market analyses</t>
  </si>
  <si>
    <t>Survey with experts/Expert opinion</t>
  </si>
  <si>
    <t>Literature , Market analyses, Data available, Survey with experts/Expert opinion</t>
  </si>
  <si>
    <t>Mapping  , Survey to measure stakeholder’s preferences and agreement , Landscaping exercise , Draft TPP, Round of revisions of TPP, Draft shortened TPP, Presentation of shortened TPP to large stakeholder audience, Consensus/public meeting</t>
  </si>
  <si>
    <t>Academia/researchers, Clinicians, Policy makers, Test developers, Laboratory experts, Implementers, Representatives of countries and national disease programs</t>
  </si>
  <si>
    <t xml:space="preserve">Representatives of countries and national disease programs, Clinicians, Academia/researchers, Laboratory experts, Patient/community advocates, Modelers, Market experts, Policy makers, Test developers, Technical/funding agencies </t>
  </si>
  <si>
    <t>No input sources reported</t>
  </si>
  <si>
    <t>N/A (no reference to specific literature)</t>
  </si>
  <si>
    <t>X</t>
  </si>
  <si>
    <t xml:space="preserve">Malaria </t>
  </si>
  <si>
    <t xml:space="preserve">Definition problem statement/use case  , Draft TPP, Round of revisions of TPP, Survey to measure stakeholder’s preferences and agreement </t>
  </si>
  <si>
    <t xml:space="preserve">Academia/researchers, Representatives of countries and national disease programs, International/public health institution </t>
  </si>
  <si>
    <t>Malaria</t>
  </si>
  <si>
    <t>A test to distinguish bacterial from non-bacterial infections</t>
  </si>
  <si>
    <t>Literature, Surveys with experts/expert opinion</t>
  </si>
  <si>
    <t>Hepatits C</t>
  </si>
  <si>
    <t>Prioritization exercise , Draft TPP, Draft shortened TPP, Delphi-like approach to gauge stakeholders’ agreement with the TPP, Consensus/public meeting</t>
  </si>
  <si>
    <t xml:space="preserve">Literature, Surveys with experts/expert opinion, Models </t>
  </si>
  <si>
    <t>Community-acquired lower respiratory tract infection</t>
  </si>
  <si>
    <t>Soil-transmitted helminths</t>
  </si>
  <si>
    <t>Academia/researchers, Implementers, Test developers</t>
  </si>
  <si>
    <t>Antimalaria drug resistance</t>
  </si>
  <si>
    <t xml:space="preserve">Academia/researchers, International/public health institution </t>
  </si>
  <si>
    <t xml:space="preserve">Chagas disease/America trypanosomiasis </t>
  </si>
  <si>
    <t>Neglected tropical diseases ( lymphatic filariasis, trachoma, schistosomiasis, onchocerciasis, soil-transmitted helminths)</t>
  </si>
  <si>
    <t>Laboratory experts, Modelers, Health economists, Experts (unspecific),  Program manager</t>
  </si>
  <si>
    <t>Sexually transmitted infections</t>
  </si>
  <si>
    <t>Taenia solium taeniasis, neurocysticercosis and porcine cysticercosis</t>
  </si>
  <si>
    <t xml:space="preserve">HIV </t>
  </si>
  <si>
    <t xml:space="preserve">Human African trypanosomiasis </t>
  </si>
  <si>
    <t>Draft TPP, Delphi-like approach to gauge stakeholders’ agreement with the TPP</t>
  </si>
  <si>
    <t>Draft TPP, Round of revisions of TPP</t>
  </si>
  <si>
    <t>A self-test</t>
  </si>
  <si>
    <t>Schistosomiasis</t>
  </si>
  <si>
    <t>Literature, Models , Surveys with experts/expert opinion</t>
  </si>
  <si>
    <t>Meningits</t>
  </si>
  <si>
    <t>Ebola virus</t>
  </si>
  <si>
    <t>A rapid diagnostic test</t>
  </si>
  <si>
    <t>International/public health institution , Non-profit sector</t>
  </si>
  <si>
    <t>Buruli ulcer</t>
  </si>
  <si>
    <t>Definition problem statement/use case  , Draft TPP</t>
  </si>
  <si>
    <t>Pneumonia Acute Respiratory infection</t>
  </si>
  <si>
    <t xml:space="preserve">Reviewing available literature and data, Defining scope TPP , Draft TPP, Round of revisions of TPP, Survey to measure stakeholder’s preferences and agreement </t>
  </si>
  <si>
    <t>Questionnaire provided to expert</t>
  </si>
  <si>
    <t>Dengue fever</t>
  </si>
  <si>
    <t>A diagnostic test</t>
  </si>
  <si>
    <t>Experts (unspecific), Other</t>
  </si>
  <si>
    <t>Field research</t>
  </si>
  <si>
    <t>Academia/researchers, International/public health institution , Non-profit sector, Industry (unspecific)</t>
  </si>
  <si>
    <t>A screening test</t>
  </si>
  <si>
    <t>Trachoma</t>
  </si>
  <si>
    <t>Yellow fever</t>
  </si>
  <si>
    <t>Schistomiasis</t>
  </si>
  <si>
    <t>HIV and Syphilis</t>
  </si>
  <si>
    <t xml:space="preserve">Literature, Models </t>
  </si>
  <si>
    <t>Definition problem statement/use case  , Prioritization exercise , Draft TPP, Round of revisions of TPP, Draft shortened TPP, Presentation of shortened TPP to large stakeholder audience, Delphi-like approach to gauge stakeholders’ agreement with the TPP, Consensus/public meeting</t>
  </si>
  <si>
    <t>Landscaping exercise , Draft TPP, Delphi-like approach to gauge stakeholders’ agreement with the TPP, Round of revisions of TPP, Feedback from the consultation (e.g. survey, meeting, expert opinion) is incorporated into the final TPPs, Prioritization exercise , Consensus/public meeting</t>
  </si>
  <si>
    <t>yes</t>
  </si>
  <si>
    <t>Literature, Surveys with experts/expert opinion, Models , Available data</t>
  </si>
  <si>
    <t>Identification of stakeholders to involve in draft TPP , Prioritization exercise , Definition TPP domains , Draft TPP, Delphi-like approach to gauge stakeholders’ agreement with the TPP, Consensus/public meeting</t>
  </si>
  <si>
    <t>Definition problem statement/use case  , Identification of most important needs, Draft TPP, Consolidation of findings, Draft shortened TPP, Delphi-like approach to gauge stakeholders’ agreement with the TPP, Feedback from the consultation (e.g. survey, meeting, expert opinion) is incorporated into the final TPPs, Consensus/public meeting</t>
  </si>
  <si>
    <t xml:space="preserve">Literature, Laboratory evaluations, Early usability studies </t>
  </si>
  <si>
    <t>Neglected tropical diseases</t>
  </si>
  <si>
    <t>Respiratory infections</t>
  </si>
  <si>
    <t>E coli</t>
  </si>
  <si>
    <t>Sexually transmitted infections/diseases</t>
  </si>
  <si>
    <t>Respiratory infection</t>
  </si>
  <si>
    <t>Meningitis</t>
  </si>
  <si>
    <t>Vector-borne disease/infection</t>
  </si>
  <si>
    <t>Vector-borne infection/diseases</t>
  </si>
  <si>
    <t>Disease area TPP</t>
  </si>
  <si>
    <t>Conflicts?</t>
  </si>
  <si>
    <t>AAS (n)</t>
  </si>
  <si>
    <t>AAS</t>
  </si>
  <si>
    <t>Academia/researchers, International/public health institution , Industry (unspecific)</t>
  </si>
  <si>
    <t xml:space="preserve">Surveys with experts/expert opinion, Models </t>
  </si>
  <si>
    <t>Funding body</t>
  </si>
  <si>
    <t>Literature , Interviews with experts</t>
  </si>
  <si>
    <t>Bill and Melinda Gates Foundation</t>
  </si>
  <si>
    <t>Meeting input</t>
  </si>
  <si>
    <t>Department of Foreign Affairs and Trade,</t>
  </si>
  <si>
    <t>the Dutch Government, with aid from the UK and the Australian Government</t>
  </si>
  <si>
    <t>Clinicians, Implementers, Representatives of countries and national disease programs, Test developers, Technical/funding agencies , Patient/community advocates, International/public health institution , Academia/researchers, Other</t>
  </si>
  <si>
    <t>Prioritization exercise , Survey to retrieve input relevant for TPP , Draft TPP, Meeting with experts/stakeholders , Feedback from the consultation (e.g. survey, meeting, expert opinion) is incorporated into the final TPPs</t>
  </si>
  <si>
    <t>Clinicians, Microbiologists, Test developers, Industry (unspecific), Academia/researchers, Market experts</t>
  </si>
  <si>
    <t>Innovative Medicines Initiative IMI-JU-02-2009-04 Infectious Diseases-Diagnostic Tools</t>
  </si>
  <si>
    <t>Meeting with experts/stakeholders , Definition problem statement/use case  , Draft TPP</t>
  </si>
  <si>
    <t>Pan-Amertican Health Organization and The Special Programme for Research and Training in Tropical Diseases</t>
  </si>
  <si>
    <t xml:space="preserve">Hepatitis C </t>
  </si>
  <si>
    <t>Neglected Tropical Diseases</t>
  </si>
  <si>
    <t>HIV Infection</t>
  </si>
  <si>
    <t>Taenia solium taeniasis/cysticercosis</t>
  </si>
  <si>
    <t>Meeting inputs</t>
  </si>
  <si>
    <t>Clinicians, Test developers, International/public health institution , Experts (unspecific), Laboratory experts, Microbiologists</t>
  </si>
  <si>
    <t>Landscaping exercise , Reviewing available literature and data, Survey to retrieve input relevant for TPP , Draft TPP, Consensus/public meeting, Feedback from the consultation (e.g. survey, meeting, expert opinion) is incorporated into the final TPPs, Round of revisions of TPP</t>
  </si>
  <si>
    <t>Meeting with experts/stakeholders , Identification of most important needs, Draft TPP, Survey to measure stakeholder’s preferences and agreement , Feedback from the consultation (e.g. survey, meeting, expert opinion) is incorporated into the final TPPs, Round of revisions of TPP</t>
  </si>
  <si>
    <t>International/public health institution , Representatives of countries and national disease programs, Experts (unspecific), Industry (unspecific), Academia/researchers, Clinicians</t>
  </si>
  <si>
    <t>no</t>
  </si>
  <si>
    <t>Bill &amp; Melinda Gates Foundation</t>
  </si>
  <si>
    <t>Academia/researchers, Non-profit sector, Industry (unspecific)</t>
  </si>
  <si>
    <t>Reviewing available literature and data, Definition problem statement/use case  , Draft TPP, Feedback from the consultation (e.g. survey, meeting, expert opinion) is incorporated into the final TPPs, Round of revisions of TPP</t>
  </si>
  <si>
    <t>Bill &amp; Melinda Gates Foundation, United Kingdom Department for International Development</t>
  </si>
  <si>
    <t>E.coli infection/diarrhoea</t>
  </si>
  <si>
    <t>No</t>
  </si>
  <si>
    <t xml:space="preserve">yes </t>
  </si>
  <si>
    <t>Meeting with experts/stakeholders , Draft TPP, Survey to retrieve input relevant for TPP , Delphi-like approach to gauge stakeholders’ agreement with the TPP, Consensus/public meeting</t>
  </si>
  <si>
    <t>Identification of most important needs, Draft TPP</t>
  </si>
  <si>
    <t xml:space="preserve">Military Infectious Diseases Research Program, U.S. Army Medical Research and
Materiel Command, Fort Detrick, Maryland.
</t>
  </si>
  <si>
    <t>A lateral flow rapid diagnostic test</t>
  </si>
  <si>
    <t>nO</t>
  </si>
  <si>
    <t>Definition problem statement/use case  , Consolidation of findings, Draft TPP</t>
  </si>
  <si>
    <t>Global Alliance for Vaccines and Immunisation (GAVI) Fund</t>
  </si>
  <si>
    <t>Landscaping exercise , Definition problem statement/use case  , Draft TPP, Round of revisions of TPP, Meeting with experts/stakeholders , Feedback from the consultation (e.g. survey, meeting, expert opinion) is incorporated into the final TPPs</t>
  </si>
  <si>
    <t xml:space="preserve">Survey with experts/Expert opinion, Literature </t>
  </si>
  <si>
    <t>Bill and Melinda Gates Foundation; American Society of Tropical Medicine and Hygiene; National Institute of Allergy and Infectious Diseases, National Institutes of Health, Department of Health and Human Services</t>
  </si>
  <si>
    <t xml:space="preserve">Diagnostic test for zika infection and blood bank testing </t>
  </si>
  <si>
    <t>1) HCV nucleic acid amplification diagnostic test 2) HCV cAg diagnostictest</t>
  </si>
  <si>
    <t>A POC infection detection test</t>
  </si>
  <si>
    <t>POC test</t>
  </si>
  <si>
    <t>1) a diagnostic test for mapping-monitoring 2) diagnostic test to confirm decision to stop intervention</t>
  </si>
  <si>
    <t>Antimalarial drug resistance diagnostic test</t>
  </si>
  <si>
    <t>1-2) a POC diagnostic test 3) a treatment-monitoring test</t>
  </si>
  <si>
    <t>Rapid test for diagnosis and screening</t>
  </si>
  <si>
    <t>Water quality testing product</t>
  </si>
  <si>
    <t>A test for predicting disease progression</t>
  </si>
  <si>
    <t>A rapid test</t>
  </si>
  <si>
    <t>1) A rapid diagnostic test 2)A diagnostic test with treatment-monitoring potential</t>
  </si>
  <si>
    <t>1) A diagnostic test for mapping-monitoring 2) A diagnostic tool</t>
  </si>
  <si>
    <t xml:space="preserve">A diagnostic test </t>
  </si>
  <si>
    <t>A diagnostic aid</t>
  </si>
  <si>
    <t>A lateral flow test</t>
  </si>
  <si>
    <t>A POC test</t>
  </si>
  <si>
    <t>A POC</t>
  </si>
  <si>
    <t>A combined test</t>
  </si>
  <si>
    <t>A field-deployable test</t>
  </si>
  <si>
    <t>A molecular drug-susceptibility test</t>
  </si>
  <si>
    <t>1) A diagnostic test 2) A diagnostic biomarker test 3) A referall screening test</t>
  </si>
  <si>
    <t>1) A diagnostic tool with mapping and impact monitoring potential 2) A diagnostic tool</t>
  </si>
  <si>
    <t>1) A POC test that could be used for surveillance 2) A specific test 3)A POC test 4) A monitoring test</t>
  </si>
  <si>
    <t>1) A diagnostic test 2) A diagnostic biomarker test 3) A referall screening test 4) A drug-susceptibility test</t>
  </si>
  <si>
    <t>1) A diagnostic test 2) A POC diagnostic test 3) A screening test</t>
  </si>
  <si>
    <t>A combined diagnostic POC 2) POC platforms 3) A combined diagnostic test</t>
  </si>
  <si>
    <t>Defining scope TPP , Draft TPP, Round of revisions of TPP, Feedback from the consultation (e.g. survey, meeting, expert opinion) is incorporated into the final TPPs</t>
  </si>
  <si>
    <t>Study specifies funding body</t>
  </si>
  <si>
    <t>Literature , Reports, Websites of developers, Interviews with experts, Policies</t>
  </si>
  <si>
    <t>Donors</t>
  </si>
  <si>
    <t>Industry (unspecific), Academia/researchers, Representatives of countries and national disease programs, Non-profit sector, Policy makers, Donors</t>
  </si>
  <si>
    <t>WHO, FIND, Medecins sans Frontiers</t>
  </si>
  <si>
    <t>A Multiplex Multi-Analyte Diagnostic Platform</t>
  </si>
  <si>
    <t>Fever</t>
  </si>
  <si>
    <t>A generic assay cartridge</t>
  </si>
  <si>
    <t>Interview with stakeholders, Draft TPP, Delphi-like approach to gauge stakeholders’ agreement with the TPP, Feedback from the consultation (e.g. survey, meeting, expert opinion) is incorporated into the final TPPs, Consensus/public meeting</t>
  </si>
  <si>
    <t>MSF, FIND, WHO</t>
  </si>
  <si>
    <t>Which only-one input sources</t>
  </si>
  <si>
    <t>Surveys with experts</t>
  </si>
  <si>
    <t>Interviews</t>
  </si>
  <si>
    <t>Single source</t>
  </si>
  <si>
    <t>Expert opinion</t>
  </si>
  <si>
    <t>Industry representatives</t>
  </si>
  <si>
    <t>Phase</t>
  </si>
  <si>
    <t>Scoping</t>
  </si>
  <si>
    <t>Drafting</t>
  </si>
  <si>
    <t>Consensus-building</t>
  </si>
  <si>
    <t>Results sorted by phase</t>
  </si>
  <si>
    <t>Phase 2</t>
  </si>
  <si>
    <t>Phase 3</t>
  </si>
  <si>
    <t xml:space="preserve">Academia/researchers, Industry (unspecific), Representatives of countries and national disease programs, Technical/funding agencies , Implementers, Clinicians, Donors, International/public health institution </t>
  </si>
  <si>
    <t xml:space="preserve">Authors </t>
  </si>
  <si>
    <t xml:space="preserve">Academia/researchers, Laboratory experts, Microbiologists, Health economists, Test developers, International/public health institution </t>
  </si>
  <si>
    <t>Database search</t>
  </si>
  <si>
    <t xml:space="preserve">Website search </t>
  </si>
  <si>
    <t>Both</t>
  </si>
  <si>
    <t/>
  </si>
  <si>
    <t>Number of TPPs which provided some information on input source</t>
  </si>
  <si>
    <t>Accuracy-related charact</t>
  </si>
  <si>
    <t>Phase 1</t>
  </si>
  <si>
    <t xml:space="preserve">Industry (unspecific), Academia/researchers, International/public health institution </t>
  </si>
  <si>
    <t>Academia/researchers, International/public health institution , Scientific associations</t>
  </si>
  <si>
    <t>Transparency score</t>
  </si>
  <si>
    <t>Checked?</t>
  </si>
  <si>
    <t>Yes</t>
  </si>
  <si>
    <t>Who writes the first draft?</t>
  </si>
  <si>
    <t xml:space="preserve">How large is the consensus-building group? </t>
  </si>
  <si>
    <t xml:space="preserve">Does the consensus-building group usually include the authors surveyed/involved in drafting? </t>
  </si>
  <si>
    <t>It seems the authors drafted and collected inputs from different stakeholder groups</t>
  </si>
  <si>
    <t xml:space="preserve">N.A. </t>
  </si>
  <si>
    <t>it does not specify. However, several consultations meetings were held by key stakeholders as opposed to a public consultation. So we can assume that the second group is bigger than the second, but it is not possible to know if it does contain stakeholders included/surveyed at the drafting phase</t>
  </si>
  <si>
    <t>Inputs were collected/gathered from all authors</t>
  </si>
  <si>
    <t>Greater than 50 individuals</t>
  </si>
  <si>
    <t>It does not specificy clearly. We might expect that more stakeholders have been surveyed in relation to the one consulted during the drafting phase but I am not 100% sure about this. It mentions a larger audience, so it might be the case</t>
  </si>
  <si>
    <t>It is not specified. No information on the drafting phase (also in terms of input sources)</t>
  </si>
  <si>
    <t>It is not possible to know given the poor information on the drafting phase. However, we can expect that these individuals are different from those involved in the drafting phase</t>
  </si>
  <si>
    <t>Information on drafting phase?</t>
  </si>
  <si>
    <t>Yes/no</t>
  </si>
  <si>
    <t>/</t>
  </si>
  <si>
    <t>TPPs with highest priority were developed by MCGill University and FIND (First 2 authors are from these 2 institutions)</t>
  </si>
  <si>
    <t>The shortened versions of the TPPs were presented to a large stakeholder audience-it does not specify</t>
  </si>
  <si>
    <t xml:space="preserve">It does not specify clearly. It is reasonable to assume that the group is larger </t>
  </si>
  <si>
    <t xml:space="preserve">Some authors + some components of the working group took part of the consensus meeting. Additionally, some stakeholders which were interviewed at scoping phase took part as well </t>
  </si>
  <si>
    <t>Document was prepared by authors ( from FIND and Forum for Collaborative HIV Research)</t>
  </si>
  <si>
    <t xml:space="preserve">First TPP: 36; Second TPP: 26 </t>
  </si>
  <si>
    <t>Document drafted by RAPID-IDD working group</t>
  </si>
  <si>
    <t>Authors + inputs from meetings with stakeholders</t>
  </si>
  <si>
    <t>I am assuming the authors, but this is not clear</t>
  </si>
  <si>
    <t>Working group composed by 14-15 members which were identified based on their proven expertise in the field</t>
  </si>
  <si>
    <t xml:space="preserve">13 participants </t>
  </si>
  <si>
    <t>It seems to me that working group participants convened to a meeting to gather consensus around TPP, not a new set of participants/stakeholder involved for this phase</t>
  </si>
  <si>
    <t>Academia/researchers, International/public health institution , Scientific associations, Industry (unspecific), Policy makers, Non-profit sector</t>
  </si>
  <si>
    <t>100 respondents</t>
  </si>
  <si>
    <t>It seems so, but not clear</t>
  </si>
  <si>
    <t>Test developers, Academia/researchers, Strategists,  Program manager, International/public health institution , Representatives of countries and national disease programs, Policy makers, Donors, Clinicians, Laboratory experts, Microbiologists</t>
  </si>
  <si>
    <t>Landscaping exercise , Draft TPP, Survey to measure stakeholder’s preferences and agreement , Consensus/public meeting, Feedback from the consultation (e.g. survey, meeting, expert opinion) is incorporated into the final TPPs</t>
  </si>
  <si>
    <t>It is not specified, I am assuming is the authors</t>
  </si>
  <si>
    <t>18 (including 4 observers)</t>
  </si>
  <si>
    <t>it seems that the majority of the authors took part in the consensus-building meeting</t>
  </si>
  <si>
    <t>It is a consensus-based TPP: so the experts who convened to the meeting</t>
  </si>
  <si>
    <t>Original draft was developed by FIND, Forum for Collaborative HIV Research, WHO' Global Hepatitis Programme</t>
  </si>
  <si>
    <t>First TPP: 36, second TPP: 26; attended consensus-meeting: 35</t>
  </si>
  <si>
    <t>International/public health institution , Academia/researchers, Technical/funding agencies , Industry (unspecific), Patient/community advocates, Representatives of countries and national disease programs, Clinicians, Implementers, Policy makers,  Program manager</t>
  </si>
  <si>
    <t>Participants to consensus-building meeting, I am assuming supported by the authors</t>
  </si>
  <si>
    <t>International Expert Group (IEG): which comprises 32 internationally recognised experts</t>
  </si>
  <si>
    <t>It does not specify. I am assuming is the same as the IEG</t>
  </si>
  <si>
    <t>I guess given what is written</t>
  </si>
  <si>
    <t>Technical/funding agencies , Academia/researchers, Clinicians, Test developers, Other</t>
  </si>
  <si>
    <t xml:space="preserve">I am assuming the authors </t>
  </si>
  <si>
    <t>I am assuming the authors</t>
  </si>
  <si>
    <t>It mentions interviews with experts, and an expert committee review. Not clear. Aciknowledged contribution for developing this TPP from WHO, Save the Children, Malaria Consortium. Bill and Melinda Gates Foundation PATH, industry and academia</t>
  </si>
  <si>
    <t>I am assuming the authors with inputs from key stakeholders. Not clear</t>
  </si>
  <si>
    <t>Document was drafted by 3 authors (FIND) + working group (13 ppl)</t>
  </si>
  <si>
    <t>working group from PATH (n=5)</t>
  </si>
  <si>
    <t>Working group from PATH (n=8)</t>
  </si>
  <si>
    <t>yES</t>
  </si>
  <si>
    <t xml:space="preserve">The TPP was prepared by Denkinger (find), Kik (McGill University, Casenghi (Medecines Sans Frontieres) </t>
  </si>
  <si>
    <t xml:space="preserve">39 participants </t>
  </si>
  <si>
    <t>It seems that authors took part in those meetings</t>
  </si>
  <si>
    <t>Academia/researchers, International/public health institution , Non-profit sector, Patient/community advocates, Test developers, Scientific associations, Representatives of countries and national disease programs, Technical/funding agencies , Donors</t>
  </si>
  <si>
    <t xml:space="preserve">The document was prepared by Alberto Matteelli, Sandra Kik, Schumacher (FIND), Varga (FIND) + inputs from technical expert consultation group </t>
  </si>
  <si>
    <t>Approx 44</t>
  </si>
  <si>
    <t>No, only 1 author/TEG</t>
  </si>
  <si>
    <t>It seems that the TPP is the result of stakeholder meetintg</t>
  </si>
  <si>
    <t>Yes/No</t>
  </si>
  <si>
    <t>I am assuming the authors with inputs from survey respondents</t>
  </si>
  <si>
    <t>it mentions contributions of different stakeholders/organisations</t>
  </si>
  <si>
    <t>Academia/researchers, International/public health institution , Policy makers, Clinicians</t>
  </si>
  <si>
    <t>I am assuming authors plus inputs from stakeholders</t>
  </si>
  <si>
    <t>Participants are 12</t>
  </si>
  <si>
    <t>Analytical accuracy</t>
  </si>
  <si>
    <t>Authors</t>
  </si>
  <si>
    <t>Input source to populate diagnostic accuracy</t>
  </si>
  <si>
    <t>Input source to populate analytical accuracy</t>
  </si>
  <si>
    <t>Interviews/ Questionnaire with experts</t>
  </si>
  <si>
    <t>Decision-making steps to develop a TPP</t>
  </si>
  <si>
    <t xml:space="preserve">Phase 1 </t>
  </si>
  <si>
    <r>
      <t>Study mentions type of</t>
    </r>
    <r>
      <rPr>
        <sz val="10"/>
        <color theme="1"/>
        <rFont val="Arial"/>
        <family val="2"/>
      </rPr>
      <t xml:space="preserve"> input sources considered to populate the TPP</t>
    </r>
  </si>
  <si>
    <r>
      <t xml:space="preserve">Study </t>
    </r>
    <r>
      <rPr>
        <sz val="10"/>
        <color theme="1"/>
        <rFont val="Arial"/>
        <family val="2"/>
      </rPr>
      <t>quotes specific literature considered to populate the TPP</t>
    </r>
  </si>
  <si>
    <r>
      <t>Study</t>
    </r>
    <r>
      <rPr>
        <sz val="10"/>
        <color theme="1"/>
        <rFont val="Arial"/>
        <family val="2"/>
      </rPr>
      <t xml:space="preserve"> mentions type of input sources considered during the scoping phase</t>
    </r>
  </si>
  <si>
    <r>
      <t xml:space="preserve">Study describes </t>
    </r>
    <r>
      <rPr>
        <sz val="10"/>
        <color theme="1"/>
        <rFont val="Arial"/>
        <family val="2"/>
      </rPr>
      <t>decision-making steps underlying the development of a TPP</t>
    </r>
  </si>
  <si>
    <r>
      <t>Study reports</t>
    </r>
    <r>
      <rPr>
        <sz val="10"/>
        <color theme="1"/>
        <rFont val="Arial"/>
        <family val="2"/>
      </rPr>
      <t xml:space="preserve"> types of stakeholders that took part in the consultative process</t>
    </r>
  </si>
  <si>
    <r>
      <t>Study lists the</t>
    </r>
    <r>
      <rPr>
        <sz val="10"/>
        <color theme="1"/>
        <rFont val="Arial"/>
        <family val="2"/>
      </rPr>
      <t xml:space="preserve"> name of the organizations stakeholders are part of </t>
    </r>
  </si>
  <si>
    <r>
      <t>Study lists the name of</t>
    </r>
    <r>
      <rPr>
        <sz val="10"/>
        <color theme="1"/>
        <rFont val="Arial"/>
        <family val="2"/>
      </rPr>
      <t xml:space="preserve"> each stakeholders invovled in the consultative process</t>
    </r>
  </si>
  <si>
    <r>
      <t xml:space="preserve">Study reports the </t>
    </r>
    <r>
      <rPr>
        <sz val="10"/>
        <color theme="1"/>
        <rFont val="Arial"/>
        <family val="2"/>
      </rPr>
      <t>rationale underlying inviting certain stakeholders</t>
    </r>
  </si>
  <si>
    <t>How to read this Excel worksheet: 1) For each included TPP we conducted a transparency assessment; 2) Based on the transparency score we sorted TPPs from the highested to the lowest; 3) We converted YES/NO answer to symbols in order to make it more understandable in Additional File 3:Table 3:4</t>
  </si>
  <si>
    <r>
      <t>Study mentions type of</t>
    </r>
    <r>
      <rPr>
        <b/>
        <sz val="11"/>
        <color theme="1"/>
        <rFont val="Arial"/>
        <family val="2"/>
      </rPr>
      <t xml:space="preserve"> input sources</t>
    </r>
    <r>
      <rPr>
        <sz val="11"/>
        <color theme="1"/>
        <rFont val="Arial"/>
        <family val="2"/>
      </rPr>
      <t xml:space="preserve"> considered to populate the TPP</t>
    </r>
  </si>
  <si>
    <r>
      <t xml:space="preserve">Study </t>
    </r>
    <r>
      <rPr>
        <b/>
        <sz val="11"/>
        <color theme="1"/>
        <rFont val="Arial"/>
        <family val="2"/>
      </rPr>
      <t>quotes specific literature</t>
    </r>
    <r>
      <rPr>
        <sz val="11"/>
        <color theme="1"/>
        <rFont val="Arial"/>
        <family val="2"/>
      </rPr>
      <t xml:space="preserve"> considered to populate the TPP</t>
    </r>
  </si>
  <si>
    <r>
      <t>Study</t>
    </r>
    <r>
      <rPr>
        <b/>
        <sz val="11"/>
        <color theme="1"/>
        <rFont val="Arial"/>
        <family val="2"/>
      </rPr>
      <t xml:space="preserve"> mentions type of input sources</t>
    </r>
    <r>
      <rPr>
        <sz val="11"/>
        <color theme="1"/>
        <rFont val="Arial"/>
        <family val="2"/>
      </rPr>
      <t xml:space="preserve"> considered during the scoping phase</t>
    </r>
  </si>
  <si>
    <r>
      <t xml:space="preserve">Study describes </t>
    </r>
    <r>
      <rPr>
        <b/>
        <sz val="11"/>
        <color theme="1"/>
        <rFont val="Arial"/>
        <family val="2"/>
      </rPr>
      <t>decision-making steps</t>
    </r>
    <r>
      <rPr>
        <sz val="11"/>
        <color theme="1"/>
        <rFont val="Arial"/>
        <family val="2"/>
      </rPr>
      <t xml:space="preserve"> underlying the development of a TPP</t>
    </r>
  </si>
  <si>
    <r>
      <t>Study reports</t>
    </r>
    <r>
      <rPr>
        <b/>
        <sz val="11"/>
        <color theme="1"/>
        <rFont val="Arial"/>
        <family val="2"/>
      </rPr>
      <t xml:space="preserve"> types of stakeholders</t>
    </r>
    <r>
      <rPr>
        <sz val="11"/>
        <color theme="1"/>
        <rFont val="Arial"/>
        <family val="2"/>
      </rPr>
      <t xml:space="preserve"> that took part in the consultative process</t>
    </r>
  </si>
  <si>
    <r>
      <t>Study lists the</t>
    </r>
    <r>
      <rPr>
        <b/>
        <sz val="11"/>
        <color theme="1"/>
        <rFont val="Arial"/>
        <family val="2"/>
      </rPr>
      <t xml:space="preserve"> name of the organizations</t>
    </r>
    <r>
      <rPr>
        <sz val="11"/>
        <color theme="1"/>
        <rFont val="Arial"/>
        <family val="2"/>
      </rPr>
      <t xml:space="preserve"> stakeholders are part of </t>
    </r>
  </si>
  <si>
    <r>
      <t>Study lists the name of</t>
    </r>
    <r>
      <rPr>
        <b/>
        <sz val="11"/>
        <color theme="1"/>
        <rFont val="Arial"/>
        <family val="2"/>
      </rPr>
      <t xml:space="preserve"> each stakeholders</t>
    </r>
    <r>
      <rPr>
        <sz val="11"/>
        <color theme="1"/>
        <rFont val="Arial"/>
        <family val="2"/>
      </rPr>
      <t xml:space="preserve"> invovled in the consultative process</t>
    </r>
  </si>
  <si>
    <r>
      <t xml:space="preserve">Study reports the </t>
    </r>
    <r>
      <rPr>
        <b/>
        <sz val="11"/>
        <color theme="1"/>
        <rFont val="Arial"/>
        <family val="2"/>
      </rPr>
      <t>rationale underlying inviting</t>
    </r>
    <r>
      <rPr>
        <sz val="11"/>
        <color theme="1"/>
        <rFont val="Arial"/>
        <family val="2"/>
      </rPr>
      <t xml:space="preserve"> certain stakeholders</t>
    </r>
  </si>
  <si>
    <t>Source</t>
  </si>
  <si>
    <t>Source TPPs</t>
  </si>
  <si>
    <t>Literature, Survey with experts/Expert opinion, Reports</t>
  </si>
  <si>
    <t xml:space="preserve">Literature, Survey with experts/Expert opinion </t>
  </si>
  <si>
    <t>Field research, Ethnographic interviews</t>
  </si>
  <si>
    <t>Input source to populate scoping phase</t>
  </si>
  <si>
    <t>Type(s) of sources to populate a TPP</t>
  </si>
  <si>
    <t>Literature, Meeting input</t>
  </si>
  <si>
    <t xml:space="preserve">Literature, Available data, Field observations, Models </t>
  </si>
  <si>
    <t>Literature, Surveys with experts/expert opinion, Industry standard</t>
  </si>
  <si>
    <t>Literature, Surveys with experts/expert opinion, Meeting input, Interviews with experts</t>
  </si>
  <si>
    <t>Surveys with experts/expert opinion, Guidelines, Literature, Meeting input</t>
  </si>
  <si>
    <t>Literature, Models , Surveys with experts/expert opinion, Consensus meeting inputs, Interviews with experts</t>
  </si>
  <si>
    <t>Surveys with experts/expert opinion, Literature</t>
  </si>
  <si>
    <t>Surveys with experts/expert opinion, Meeting input</t>
  </si>
  <si>
    <t>Literature, Interviews with experts, Available data, Early usability studies , Laboratory evaluations</t>
  </si>
  <si>
    <t>Guidelines, Literature, Interviews with experts, Field observations, Available data</t>
  </si>
  <si>
    <t>Literature, Interviews with experts, Surveys with experts/expert opinion</t>
  </si>
  <si>
    <t>Interviews with experts, Literature</t>
  </si>
  <si>
    <t>Literature, Surveys with experts/expert opinion, Interviews with experts, Field observations, Guidelines, Available data</t>
  </si>
  <si>
    <t>Literature, Guidelines, Available data, Surveys with experts/expert opinion, Interviews with experts</t>
  </si>
  <si>
    <t>Interviews with experts, Field observations</t>
  </si>
  <si>
    <t>Literature, Guidelines, Surveys with experts/expert opinion, Available data</t>
  </si>
  <si>
    <t>Interviews with experts, Field observations, Literature, Guidelines, Available data</t>
  </si>
  <si>
    <t>Interviews with experts, Surveys with experts/expert opinion</t>
  </si>
  <si>
    <t xml:space="preserve">Literature, Interviews with experts, Models </t>
  </si>
  <si>
    <t xml:space="preserve">Literature, Surveys with experts/expert opinion, Consensus meeting inputs, Models </t>
  </si>
  <si>
    <t xml:space="preserve">Systematic literature review? </t>
  </si>
  <si>
    <t>No, only citing literature</t>
  </si>
  <si>
    <t>It is only mentioned literature search</t>
  </si>
  <si>
    <t>It only mentioned literature search</t>
  </si>
  <si>
    <t>No, only citing literature. It mentions only literature searches</t>
  </si>
  <si>
    <t>No, only citing literature in the main text</t>
  </si>
  <si>
    <t>It mentions review of current biomarker landscape while citing a lit reference</t>
  </si>
  <si>
    <t xml:space="preserve">No, only citing literature </t>
  </si>
  <si>
    <t>They mention a lanscape analysis, which  entails a literature review</t>
  </si>
  <si>
    <t>No, only citing literature in the table and main text</t>
  </si>
  <si>
    <t>They only cite specific literature</t>
  </si>
  <si>
    <t>Which type of literature?</t>
  </si>
  <si>
    <t>No, only citing literature in table and main text</t>
  </si>
  <si>
    <t>"Rapid" literature review, the authors reported keywords and databases searched + mention landscape analysis</t>
  </si>
  <si>
    <t>Review of pooled daa from systematic reviews commissioned by WHO</t>
  </si>
  <si>
    <t>"Thoughtful review of currently available literature", citing specific literature for each test characteristic</t>
  </si>
  <si>
    <t>It is mentioned review of the scientific literature</t>
  </si>
  <si>
    <t>No, only citing literature in the main text describing each test characteristic</t>
  </si>
  <si>
    <t>No, only citing literature in the main text in relation to some test characteristics and table</t>
  </si>
  <si>
    <t>They mentioned only literature reviews</t>
  </si>
  <si>
    <t>No, literature cited in the main text alongside the table</t>
  </si>
  <si>
    <t>No, they mentioned that the TPP was informed with a literature review.</t>
  </si>
  <si>
    <t>No, literature cited in the main text for some test characteristics</t>
  </si>
  <si>
    <t>Broader disease area</t>
  </si>
  <si>
    <t>Does the study reports the source of funding?</t>
  </si>
  <si>
    <t>Study title</t>
  </si>
  <si>
    <t>Were price estimates included?</t>
  </si>
  <si>
    <t>Input source - price estimate</t>
  </si>
  <si>
    <t>Was the input source for price estimate reported?</t>
  </si>
  <si>
    <t>Test evaluation study (literature)</t>
  </si>
  <si>
    <t>1) published results from a survey of experts being asked to provide a cost value for one smear in their country (n=22) 2) Decision-analytic model 3) published WHO policies 4)ongoing cost and affordability study was presented at the meeting (unpublished data)</t>
  </si>
  <si>
    <t>Expert consensus</t>
  </si>
  <si>
    <t>NA</t>
  </si>
  <si>
    <t xml:space="preserve">Yes </t>
  </si>
  <si>
    <t>Randomised cost-effectiveness trial (Batwala)//literature research agenda for malaria eradication</t>
  </si>
  <si>
    <t>Yes, in the main text - based on the feedback provided</t>
  </si>
  <si>
    <t>Literature findings, PATH studies on end-users' willigness-to-pay, expert opinion</t>
  </si>
  <si>
    <t>Literature findings (Assefa) - cost analysis study in Kenya</t>
  </si>
  <si>
    <t>Price estimates</t>
  </si>
  <si>
    <t>Decision model</t>
  </si>
  <si>
    <t>Study</t>
  </si>
  <si>
    <t>Definition of clinical sen spec</t>
  </si>
  <si>
    <t>Reference standard mentioned</t>
  </si>
  <si>
    <t>Greater than 95%</t>
  </si>
  <si>
    <t>Greater than 80</t>
  </si>
  <si>
    <t>No - lack of reference standard?</t>
  </si>
  <si>
    <t>Greater than 99%</t>
  </si>
  <si>
    <t>Greater than 95/99%</t>
  </si>
  <si>
    <t>Greater than 90%,99%</t>
  </si>
  <si>
    <t>Greater than 90%</t>
  </si>
  <si>
    <t>Greater than 95,99%</t>
  </si>
  <si>
    <t>No optimal sen spec being reported</t>
  </si>
  <si>
    <t>Not explict - just said equal to polymerase chain reaction</t>
  </si>
  <si>
    <t>Not explictily quantify - high sen high spec</t>
  </si>
  <si>
    <t>100% specificity</t>
  </si>
  <si>
    <t>Greater than 98%</t>
  </si>
  <si>
    <t>No validated reference method to determine the clinical diagnostic sensitivity</t>
  </si>
  <si>
    <t>Not explictly quantified - false positive methods comparable to existing methods</t>
  </si>
  <si>
    <t>Optimal greater than 95% sen, spec 99%</t>
  </si>
  <si>
    <t>100%,99%</t>
  </si>
  <si>
    <t>Optimal sensitivity 99%</t>
  </si>
  <si>
    <t>100% - sen spec minimal and optimal sorted by industry and non-industry representatives</t>
  </si>
  <si>
    <t>Not explictly quantified, it only mentions false-positive rate</t>
  </si>
  <si>
    <t>Vague - reference standards</t>
  </si>
  <si>
    <t>Greater than 99% and 95%</t>
  </si>
  <si>
    <t>Diagnostic accuracy estimates</t>
  </si>
  <si>
    <t>Diagnostic test</t>
  </si>
  <si>
    <t>Monitoring</t>
  </si>
  <si>
    <t>Screening test</t>
  </si>
  <si>
    <t>Predicting</t>
  </si>
  <si>
    <t>Prognostic</t>
  </si>
  <si>
    <t>Treatment monitoring test</t>
  </si>
  <si>
    <t>Specific definition of test technology</t>
  </si>
  <si>
    <t>Generic technology</t>
  </si>
  <si>
    <t>Notes</t>
  </si>
  <si>
    <t>Diagnosis</t>
  </si>
  <si>
    <t>Screening</t>
  </si>
  <si>
    <t>Eg Rapid, sputum-based, cartridge-based, molecular test for microscopy centers (with the adoption of add-on DST cartridge)</t>
  </si>
  <si>
    <t>it defines different uses cases (e.g. 1) determine STH transmission and identify type of MDA 2) assess progress against program goals 3) confirm a decision to stop intervention and transition to surveillance 4) verify sustained break in transmission)</t>
  </si>
  <si>
    <t>Antimalarial drug resistance molecular diagnostic test</t>
  </si>
  <si>
    <t>A point-of-care/near patient diagnostic test</t>
  </si>
  <si>
    <t>A rapid diagnostic self-test</t>
  </si>
  <si>
    <t>1) lateral flow tests for antigen biomarkers 2) nucleic acid amplification tests</t>
  </si>
  <si>
    <t>screening, diagnostic, track and treat, food safety</t>
  </si>
  <si>
    <t>A lateral flow test for stopping decision for mass drug administration</t>
  </si>
  <si>
    <t>A lateral flow test to inform stopping decision phase for mass drug administration</t>
  </si>
  <si>
    <t>A field-deployable test - individual application in clinical care, mapping endemic regions to inform vaccination priorities and monitoring outbreak response</t>
  </si>
  <si>
    <t>A multiplex multi-analyte platform</t>
  </si>
  <si>
    <t>Prognosis</t>
  </si>
  <si>
    <t>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</si>
</sst>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2"/>
      <color theme="1"/>
      <name val="Calibri"/>
      <family val="2"/>
      <scheme val="minor"/>
    </font>
    <font>
      <sz val="10"/>
      <name val="Arial"/>
      <family val="2"/>
    </font>
    <font>
      <sz val="10"/>
      <color theme="1"/>
      <name val="Arial"/>
      <family val="2"/>
    </font>
    <font>
      <sz val="10"/>
      <color rgb="FF3F3F76"/>
      <name val="Arial"/>
      <family val="2"/>
    </font>
    <font>
      <b/>
      <sz val="10"/>
      <color theme="1"/>
      <name val="Arial"/>
      <family val="2"/>
    </font>
    <font>
      <sz val="10"/>
      <color theme="0"/>
      <name val="Arial"/>
      <family val="2"/>
    </font>
    <font>
      <b/>
      <sz val="9"/>
      <name val="Calibri"/>
      <family val="2"/>
    </font>
    <font>
      <sz val="11"/>
      <color theme="1"/>
      <name val="Calibri"/>
      <family val="2"/>
    </font>
    <font>
      <sz val="12"/>
      <color theme="1"/>
      <name val="Arial"/>
      <family val="2"/>
    </font>
    <font>
      <b/>
      <sz val="12"/>
      <color rgb="FF3F3F3F"/>
      <name val="Calibri"/>
      <family val="2"/>
      <scheme val="minor"/>
    </font>
    <font>
      <b/>
      <sz val="10"/>
      <name val="Arial"/>
      <family val="2"/>
    </font>
    <font>
      <sz val="10"/>
      <color rgb="FF006100"/>
      <name val="Arial"/>
      <family val="2"/>
    </font>
    <font>
      <sz val="10"/>
      <color rgb="FF9C0006"/>
      <name val="Arial"/>
      <family val="2"/>
    </font>
    <font>
      <sz val="10"/>
      <color rgb="FF9C6500"/>
      <name val="Arial"/>
      <family val="2"/>
    </font>
    <font>
      <b/>
      <sz val="10"/>
      <color theme="0"/>
      <name val="Arial"/>
      <family val="2"/>
    </font>
    <font>
      <sz val="11"/>
      <color theme="1"/>
      <name val="Calibri"/>
      <family val="2"/>
      <scheme val="minor"/>
    </font>
    <font>
      <b/>
      <sz val="12"/>
      <color theme="1"/>
      <name val="Calibri"/>
      <family val="2"/>
      <scheme val="minor"/>
    </font>
    <font>
      <b/>
      <sz val="18"/>
      <color theme="1"/>
      <name val="Calibri"/>
      <family val="2"/>
      <scheme val="minor"/>
    </font>
    <font>
      <sz val="18"/>
      <color theme="1"/>
      <name val="Calibri"/>
      <family val="2"/>
      <scheme val="minor"/>
    </font>
    <font>
      <b/>
      <sz val="10"/>
      <name val="Calibri"/>
      <family val="2"/>
    </font>
    <font>
      <b/>
      <sz val="11"/>
      <name val="Calibri"/>
      <family val="2"/>
    </font>
    <font>
      <b/>
      <sz val="11"/>
      <color theme="0"/>
      <name val="Arial"/>
      <family val="2"/>
    </font>
    <font>
      <sz val="10"/>
      <color theme="1"/>
      <name val="Calibri"/>
      <family val="2"/>
      <scheme val="minor"/>
    </font>
    <font>
      <sz val="11"/>
      <color theme="1"/>
      <name val="Arial"/>
      <family val="2"/>
    </font>
    <font>
      <b/>
      <sz val="11"/>
      <color theme="1"/>
      <name val="Arial"/>
      <family val="2"/>
    </font>
    <font>
      <b/>
      <sz val="11"/>
      <name val="Arial"/>
      <family val="2"/>
    </font>
    <font>
      <b/>
      <sz val="12"/>
      <name val="Calibri"/>
      <family val="2"/>
    </font>
    <font>
      <sz val="12"/>
      <name val="Calibri"/>
      <family val="2"/>
      <scheme val="minor"/>
    </font>
    <font>
      <sz val="11"/>
      <name val="Calibri"/>
      <family val="2"/>
    </font>
    <font>
      <b/>
      <sz val="12"/>
      <color theme="1"/>
      <name val="Arial"/>
      <family val="2"/>
    </font>
    <font>
      <sz val="14"/>
      <color theme="1" tint="0.35"/>
      <name val="Calibri"/>
      <family val="2"/>
    </font>
    <font>
      <sz val="9"/>
      <color theme="1" tint="0.35"/>
      <name val="+mn-cs"/>
      <family val="2"/>
    </font>
    <font>
      <sz val="9"/>
      <color theme="1" tint="0.35"/>
      <name val="Calibri"/>
      <family val="2"/>
    </font>
  </fonts>
  <fills count="15">
    <fill>
      <patternFill/>
    </fill>
    <fill>
      <patternFill patternType="gray125"/>
    </fill>
    <fill>
      <patternFill patternType="solid">
        <fgColor theme="5"/>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7" tint="0.7999799847602844"/>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theme="9" tint="0.39998000860214233"/>
        <bgColor indexed="64"/>
      </patternFill>
    </fill>
    <fill>
      <patternFill patternType="solid">
        <fgColor rgb="FFFFFF00"/>
        <bgColor indexed="64"/>
      </patternFill>
    </fill>
    <fill>
      <patternFill patternType="solid">
        <fgColor theme="7" tint="0.5999900102615356"/>
        <bgColor indexed="64"/>
      </patternFill>
    </fill>
    <fill>
      <patternFill patternType="solid">
        <fgColor theme="5"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bottom/>
    </border>
    <border>
      <left style="thin"/>
      <right style="thin"/>
      <top style="thin"/>
      <bottom style="thin"/>
    </border>
    <border>
      <left style="thin">
        <color rgb="FF3F3F3F"/>
      </left>
      <right style="thin">
        <color rgb="FF3F3F3F"/>
      </right>
      <top/>
      <bottom style="thin">
        <color rgb="FF3F3F3F"/>
      </bottom>
    </border>
    <border>
      <left style="thin"/>
      <right style="thin"/>
      <top style="thin"/>
      <bottom/>
    </border>
    <border>
      <left style="thin"/>
      <right style="thin"/>
      <top/>
      <bottom/>
    </border>
    <border>
      <left/>
      <right style="thin"/>
      <top/>
      <bottom/>
    </border>
    <border>
      <left style="thin"/>
      <right style="thin"/>
      <top style="thin">
        <color rgb="FFB2B2B2"/>
      </top>
      <bottom style="thin">
        <color rgb="FFB2B2B2"/>
      </bottom>
    </border>
    <border>
      <left style="thin"/>
      <right/>
      <top/>
      <bottom style="thin"/>
    </border>
    <border>
      <left/>
      <right/>
      <top/>
      <bottom style="thin"/>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Alignment="0" applyProtection="0"/>
    <xf numFmtId="0" fontId="2" fillId="0" borderId="0">
      <alignment/>
      <protection/>
    </xf>
    <xf numFmtId="0" fontId="3" fillId="3" borderId="1" applyNumberFormat="0" applyAlignment="0" applyProtection="0"/>
    <xf numFmtId="0" fontId="2" fillId="0" borderId="0">
      <alignment/>
      <protection/>
    </xf>
    <xf numFmtId="0" fontId="9" fillId="4" borderId="2" applyNumberFormat="0" applyAlignment="0" applyProtection="0"/>
    <xf numFmtId="0" fontId="2" fillId="5" borderId="3" applyNumberFormat="0" applyFont="0" applyAlignment="0" applyProtection="0"/>
    <xf numFmtId="0" fontId="2" fillId="6" borderId="0" applyNumberFormat="0" applyBorder="0" applyAlignment="0" applyProtection="0"/>
    <xf numFmtId="0" fontId="11" fillId="7"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0" fillId="0" borderId="0">
      <alignment/>
      <protection/>
    </xf>
    <xf numFmtId="0" fontId="14" fillId="10" borderId="4" applyNumberFormat="0" applyAlignment="0" applyProtection="0"/>
    <xf numFmtId="0" fontId="5" fillId="11" borderId="0" applyNumberFormat="0" applyBorder="0" applyAlignment="0" applyProtection="0"/>
  </cellStyleXfs>
  <cellXfs count="219">
    <xf numFmtId="0" fontId="0" fillId="0" borderId="0" xfId="0"/>
    <xf numFmtId="0" fontId="2" fillId="0" borderId="0" xfId="21" applyAlignment="1">
      <alignment wrapText="1"/>
      <protection/>
    </xf>
    <xf numFmtId="0" fontId="4" fillId="0" borderId="0" xfId="21" applyFont="1" applyAlignment="1">
      <alignment wrapText="1"/>
      <protection/>
    </xf>
    <xf numFmtId="0" fontId="2" fillId="0" borderId="0" xfId="21" applyFill="1" applyBorder="1" applyAlignment="1">
      <alignment wrapText="1"/>
      <protection/>
    </xf>
    <xf numFmtId="0" fontId="4" fillId="0" borderId="0" xfId="21" applyFont="1" applyFill="1" applyAlignment="1">
      <alignment wrapText="1"/>
      <protection/>
    </xf>
    <xf numFmtId="0" fontId="7" fillId="0" borderId="0" xfId="21" applyFont="1" applyAlignment="1">
      <alignment wrapText="1"/>
      <protection/>
    </xf>
    <xf numFmtId="0" fontId="3" fillId="3" borderId="1" xfId="22" applyAlignment="1">
      <alignment wrapText="1"/>
    </xf>
    <xf numFmtId="0" fontId="3" fillId="3" borderId="5" xfId="22" applyBorder="1" applyAlignment="1">
      <alignment wrapText="1"/>
    </xf>
    <xf numFmtId="0" fontId="2" fillId="0" borderId="0" xfId="23" applyAlignment="1">
      <alignment wrapText="1"/>
      <protection/>
    </xf>
    <xf numFmtId="0" fontId="2" fillId="0" borderId="0" xfId="23">
      <alignment/>
      <protection/>
    </xf>
    <xf numFmtId="0" fontId="0" fillId="0" borderId="0" xfId="0" applyAlignment="1">
      <alignment wrapText="1"/>
    </xf>
    <xf numFmtId="0" fontId="4" fillId="0" borderId="0" xfId="23" applyFont="1" applyAlignment="1">
      <alignment wrapText="1"/>
      <protection/>
    </xf>
    <xf numFmtId="0" fontId="2" fillId="0" borderId="0" xfId="23" applyFont="1">
      <alignment/>
      <protection/>
    </xf>
    <xf numFmtId="0" fontId="8" fillId="0" borderId="0" xfId="0" applyFont="1"/>
    <xf numFmtId="0" fontId="2" fillId="0" borderId="0" xfId="23" applyFont="1" applyAlignment="1">
      <alignment wrapText="1"/>
      <protection/>
    </xf>
    <xf numFmtId="0" fontId="2" fillId="0" borderId="0" xfId="23" applyFont="1" applyAlignment="1">
      <alignment vertical="center" wrapText="1"/>
      <protection/>
    </xf>
    <xf numFmtId="0" fontId="2" fillId="0" borderId="0" xfId="0" applyFont="1" applyAlignment="1">
      <alignment wrapText="1"/>
    </xf>
    <xf numFmtId="0" fontId="2" fillId="0" borderId="0" xfId="0" applyFont="1"/>
    <xf numFmtId="0" fontId="6" fillId="6" borderId="6" xfId="23" applyFont="1" applyFill="1" applyBorder="1" applyAlignment="1">
      <alignment vertical="center" wrapText="1"/>
      <protection/>
    </xf>
    <xf numFmtId="0" fontId="4" fillId="0" borderId="6" xfId="23" applyFont="1" applyBorder="1" applyAlignment="1">
      <alignment wrapText="1"/>
      <protection/>
    </xf>
    <xf numFmtId="0" fontId="2" fillId="0" borderId="6" xfId="23" applyBorder="1" applyAlignment="1">
      <alignment horizontal="center"/>
      <protection/>
    </xf>
    <xf numFmtId="9" fontId="2" fillId="0" borderId="0" xfId="15" applyFont="1"/>
    <xf numFmtId="0" fontId="4" fillId="0" borderId="6" xfId="23" applyFont="1" applyFill="1" applyBorder="1" applyAlignment="1">
      <alignment wrapText="1"/>
      <protection/>
    </xf>
    <xf numFmtId="0" fontId="9" fillId="4" borderId="7" xfId="24" applyBorder="1"/>
    <xf numFmtId="0" fontId="9" fillId="4" borderId="7" xfId="15" applyNumberFormat="1" applyFont="1" applyFill="1" applyBorder="1"/>
    <xf numFmtId="9" fontId="2" fillId="0" borderId="0" xfId="23" applyNumberFormat="1">
      <alignment/>
      <protection/>
    </xf>
    <xf numFmtId="0" fontId="2" fillId="12" borderId="0" xfId="23" applyFill="1">
      <alignment/>
      <protection/>
    </xf>
    <xf numFmtId="0" fontId="6" fillId="11" borderId="6" xfId="21" applyFont="1" applyFill="1" applyBorder="1" applyAlignment="1">
      <alignment vertical="center" wrapText="1"/>
      <protection/>
    </xf>
    <xf numFmtId="9" fontId="2" fillId="0" borderId="6" xfId="15" applyFont="1" applyBorder="1" applyAlignment="1">
      <alignment horizontal="center"/>
    </xf>
    <xf numFmtId="0" fontId="9" fillId="4" borderId="2" xfId="24" applyAlignment="1">
      <alignment horizontal="center"/>
    </xf>
    <xf numFmtId="0" fontId="4" fillId="5" borderId="8" xfId="25" applyFont="1" applyBorder="1" applyAlignment="1">
      <alignment horizontal="center"/>
    </xf>
    <xf numFmtId="0" fontId="7" fillId="0" borderId="0" xfId="23" applyFont="1">
      <alignment/>
      <protection/>
    </xf>
    <xf numFmtId="0" fontId="2" fillId="0" borderId="0" xfId="23" applyFill="1">
      <alignment/>
      <protection/>
    </xf>
    <xf numFmtId="0" fontId="2" fillId="13" borderId="6" xfId="23" applyFill="1" applyBorder="1">
      <alignment/>
      <protection/>
    </xf>
    <xf numFmtId="0" fontId="10" fillId="5" borderId="6" xfId="25" applyFont="1" applyBorder="1" applyAlignment="1">
      <alignment horizontal="center" wrapText="1"/>
    </xf>
    <xf numFmtId="0" fontId="4" fillId="0" borderId="0" xfId="23" applyFont="1" applyAlignment="1">
      <alignment horizontal="center" wrapText="1"/>
      <protection/>
    </xf>
    <xf numFmtId="9" fontId="4" fillId="0" borderId="0" xfId="15" applyFont="1" applyAlignment="1">
      <alignment horizontal="center" wrapText="1"/>
    </xf>
    <xf numFmtId="0" fontId="3" fillId="3" borderId="1" xfId="22" applyAlignment="1">
      <alignment horizontal="left" wrapText="1"/>
    </xf>
    <xf numFmtId="0" fontId="2" fillId="0" borderId="0" xfId="23" applyFont="1" applyAlignment="1">
      <alignment wrapText="1"/>
      <protection/>
    </xf>
    <xf numFmtId="0" fontId="2" fillId="0" borderId="0" xfId="21" applyFill="1" applyAlignment="1">
      <alignment wrapText="1"/>
      <protection/>
    </xf>
    <xf numFmtId="0" fontId="2" fillId="0" borderId="0" xfId="23" applyFont="1" applyAlignment="1">
      <alignment wrapText="1"/>
      <protection/>
    </xf>
    <xf numFmtId="0" fontId="2" fillId="0" borderId="0" xfId="23" applyFont="1" applyAlignment="1">
      <alignment vertical="center" wrapText="1"/>
      <protection/>
    </xf>
    <xf numFmtId="9" fontId="2" fillId="0" borderId="0" xfId="23" applyNumberFormat="1" applyAlignment="1">
      <alignment wrapText="1"/>
      <protection/>
    </xf>
    <xf numFmtId="0" fontId="2" fillId="0" borderId="0" xfId="0" applyFont="1" applyAlignment="1">
      <alignment wrapText="1"/>
    </xf>
    <xf numFmtId="9" fontId="0" fillId="0" borderId="0" xfId="15" applyFont="1"/>
    <xf numFmtId="0" fontId="2" fillId="0" borderId="0" xfId="15" applyNumberFormat="1" applyFont="1"/>
    <xf numFmtId="0" fontId="2" fillId="0" borderId="0" xfId="23" applyFont="1">
      <alignment/>
      <protection/>
    </xf>
    <xf numFmtId="0" fontId="4" fillId="0" borderId="0" xfId="23" applyFont="1" applyFill="1" applyBorder="1" applyAlignment="1">
      <alignment wrapText="1"/>
      <protection/>
    </xf>
    <xf numFmtId="0" fontId="3" fillId="3" borderId="0" xfId="22" applyBorder="1" applyAlignment="1">
      <alignment horizontal="left" wrapText="1"/>
    </xf>
    <xf numFmtId="0" fontId="2" fillId="0" borderId="0" xfId="23" applyFont="1" applyFill="1" applyBorder="1" applyAlignment="1">
      <alignment wrapText="1"/>
      <protection/>
    </xf>
    <xf numFmtId="0" fontId="0" fillId="0" borderId="0" xfId="0" applyFill="1"/>
    <xf numFmtId="0" fontId="2" fillId="0" borderId="0" xfId="23" applyBorder="1" applyAlignment="1">
      <alignment horizontal="center"/>
      <protection/>
    </xf>
    <xf numFmtId="0" fontId="2" fillId="0" borderId="6" xfId="23" applyFill="1" applyBorder="1" applyAlignment="1">
      <alignment horizontal="center"/>
      <protection/>
    </xf>
    <xf numFmtId="0" fontId="2" fillId="6" borderId="9" xfId="26" applyFont="1" applyBorder="1" applyAlignment="1">
      <alignment wrapText="1"/>
    </xf>
    <xf numFmtId="0" fontId="4" fillId="0" borderId="10" xfId="23" applyFont="1" applyFill="1" applyBorder="1" applyAlignment="1">
      <alignment wrapText="1"/>
      <protection/>
    </xf>
    <xf numFmtId="0" fontId="2" fillId="0" borderId="0" xfId="23" applyFont="1" applyAlignment="1">
      <alignment wrapText="1"/>
      <protection/>
    </xf>
    <xf numFmtId="0" fontId="15" fillId="0" borderId="0" xfId="0" applyFont="1"/>
    <xf numFmtId="0" fontId="2" fillId="0" borderId="0" xfId="23" applyFont="1" applyAlignment="1">
      <alignment wrapText="1"/>
      <protection/>
    </xf>
    <xf numFmtId="0" fontId="11" fillId="7" borderId="0" xfId="27"/>
    <xf numFmtId="0" fontId="12" fillId="8" borderId="0" xfId="28" applyAlignment="1">
      <alignment wrapText="1"/>
    </xf>
    <xf numFmtId="9" fontId="2" fillId="0" borderId="0" xfId="15" applyFont="1" applyAlignment="1">
      <alignment wrapText="1"/>
    </xf>
    <xf numFmtId="0" fontId="2" fillId="0" borderId="0" xfId="0" applyFont="1" applyAlignment="1">
      <alignment wrapText="1"/>
    </xf>
    <xf numFmtId="0" fontId="0" fillId="0" borderId="0" xfId="30">
      <alignment/>
      <protection/>
    </xf>
    <xf numFmtId="0" fontId="0" fillId="0" borderId="0" xfId="0" applyBorder="1"/>
    <xf numFmtId="0" fontId="2" fillId="0" borderId="0" xfId="23" applyFont="1" applyFill="1" applyBorder="1" applyAlignment="1">
      <alignment wrapText="1"/>
      <protection/>
    </xf>
    <xf numFmtId="0" fontId="2" fillId="0" borderId="0" xfId="23" applyFill="1" applyAlignment="1">
      <alignment wrapText="1"/>
      <protection/>
    </xf>
    <xf numFmtId="0" fontId="13" fillId="9" borderId="0" xfId="29"/>
    <xf numFmtId="9" fontId="4" fillId="0" borderId="0" xfId="15" applyNumberFormat="1" applyFont="1" applyAlignment="1">
      <alignment horizontal="center" wrapText="1"/>
    </xf>
    <xf numFmtId="0" fontId="2" fillId="0" borderId="6" xfId="23" applyFont="1" applyBorder="1" applyAlignment="1">
      <alignment horizontal="center"/>
      <protection/>
    </xf>
    <xf numFmtId="0" fontId="3" fillId="3" borderId="0" xfId="22" applyBorder="1" applyAlignment="1">
      <alignment wrapText="1"/>
    </xf>
    <xf numFmtId="0" fontId="2" fillId="0" borderId="0" xfId="23" applyBorder="1">
      <alignment/>
      <protection/>
    </xf>
    <xf numFmtId="0" fontId="3" fillId="3" borderId="1" xfId="22" applyBorder="1" applyAlignment="1">
      <alignment wrapText="1"/>
    </xf>
    <xf numFmtId="0" fontId="4" fillId="12" borderId="1" xfId="21" applyFont="1" applyFill="1" applyBorder="1" applyAlignment="1">
      <alignment wrapText="1"/>
      <protection/>
    </xf>
    <xf numFmtId="0" fontId="3" fillId="5" borderId="3" xfId="25" applyFont="1" applyAlignment="1">
      <alignment wrapText="1"/>
    </xf>
    <xf numFmtId="0" fontId="4" fillId="5" borderId="3" xfId="25" applyFont="1" applyAlignment="1">
      <alignment wrapText="1"/>
    </xf>
    <xf numFmtId="0" fontId="3" fillId="5" borderId="3" xfId="25" applyFont="1" applyBorder="1" applyAlignment="1">
      <alignment wrapText="1"/>
    </xf>
    <xf numFmtId="0" fontId="2" fillId="0" borderId="6" xfId="23" applyFont="1" applyBorder="1" applyAlignment="1">
      <alignment horizontal="center"/>
      <protection/>
    </xf>
    <xf numFmtId="0" fontId="2" fillId="6" borderId="9" xfId="26" applyFont="1" applyBorder="1" applyAlignment="1">
      <alignment wrapText="1"/>
    </xf>
    <xf numFmtId="0" fontId="11" fillId="7" borderId="0" xfId="27" applyAlignment="1">
      <alignment wrapText="1"/>
    </xf>
    <xf numFmtId="0" fontId="11" fillId="7" borderId="0" xfId="27" applyBorder="1" applyAlignment="1">
      <alignment wrapText="1"/>
    </xf>
    <xf numFmtId="0" fontId="2" fillId="0" borderId="6" xfId="23" applyFont="1" applyBorder="1" applyAlignment="1">
      <alignment horizontal="center"/>
      <protection/>
    </xf>
    <xf numFmtId="0" fontId="2" fillId="0" borderId="6" xfId="23" applyBorder="1" applyAlignment="1">
      <alignment horizontal="center" wrapText="1"/>
      <protection/>
    </xf>
    <xf numFmtId="0" fontId="2" fillId="0" borderId="6" xfId="23" applyFont="1" applyBorder="1" applyAlignment="1">
      <alignment horizontal="center"/>
      <protection/>
    </xf>
    <xf numFmtId="0" fontId="19" fillId="6" borderId="6" xfId="23" applyFont="1" applyFill="1" applyBorder="1" applyAlignment="1">
      <alignment vertical="center" wrapText="1"/>
      <protection/>
    </xf>
    <xf numFmtId="0" fontId="19" fillId="6" borderId="8" xfId="23" applyFont="1" applyFill="1" applyBorder="1" applyAlignment="1">
      <alignment horizontal="center" vertical="center" wrapText="1"/>
      <protection/>
    </xf>
    <xf numFmtId="0" fontId="12" fillId="8" borderId="8" xfId="28" applyFont="1" applyBorder="1" applyAlignment="1">
      <alignment horizontal="center" vertical="center" wrapText="1"/>
    </xf>
    <xf numFmtId="0" fontId="19" fillId="6" borderId="8" xfId="23" applyFont="1" applyFill="1" applyBorder="1" applyAlignment="1">
      <alignment vertical="center" wrapText="1"/>
      <protection/>
    </xf>
    <xf numFmtId="0" fontId="20" fillId="6" borderId="6" xfId="23" applyFont="1" applyFill="1" applyBorder="1" applyAlignment="1">
      <alignment vertical="center" wrapText="1"/>
      <protection/>
    </xf>
    <xf numFmtId="0" fontId="20" fillId="6" borderId="8" xfId="23" applyFont="1" applyFill="1" applyBorder="1" applyAlignment="1">
      <alignment horizontal="center" vertical="center" wrapText="1"/>
      <protection/>
    </xf>
    <xf numFmtId="0" fontId="20" fillId="6" borderId="8" xfId="23" applyFont="1" applyFill="1" applyBorder="1" applyAlignment="1">
      <alignment vertical="center" wrapText="1"/>
      <protection/>
    </xf>
    <xf numFmtId="9" fontId="21" fillId="10" borderId="4" xfId="31" applyNumberFormat="1" applyFont="1"/>
    <xf numFmtId="0" fontId="11" fillId="0" borderId="6" xfId="27" applyFill="1" applyBorder="1" applyAlignment="1">
      <alignment horizontal="center"/>
    </xf>
    <xf numFmtId="0" fontId="2" fillId="0" borderId="0" xfId="23" applyFont="1" applyAlignment="1">
      <alignment wrapText="1"/>
      <protection/>
    </xf>
    <xf numFmtId="0" fontId="9" fillId="0" borderId="7" xfId="24" applyFill="1" applyBorder="1"/>
    <xf numFmtId="0" fontId="22" fillId="0" borderId="0" xfId="0" applyFont="1"/>
    <xf numFmtId="0" fontId="2" fillId="0" borderId="0" xfId="23" applyFont="1" applyFill="1">
      <alignment/>
      <protection/>
    </xf>
    <xf numFmtId="0" fontId="2" fillId="0" borderId="0" xfId="23" applyFont="1" applyFill="1" applyBorder="1">
      <alignment/>
      <protection/>
    </xf>
    <xf numFmtId="0" fontId="2" fillId="6" borderId="6" xfId="26" applyBorder="1" applyAlignment="1">
      <alignment wrapText="1"/>
    </xf>
    <xf numFmtId="0" fontId="23" fillId="6" borderId="6" xfId="26" applyFont="1" applyBorder="1" applyAlignment="1">
      <alignment wrapText="1"/>
    </xf>
    <xf numFmtId="0" fontId="23" fillId="6" borderId="8" xfId="26" applyFont="1" applyBorder="1" applyAlignment="1">
      <alignment wrapText="1"/>
    </xf>
    <xf numFmtId="0" fontId="25" fillId="13" borderId="6" xfId="25" applyFont="1" applyFill="1" applyBorder="1" applyAlignment="1">
      <alignment horizontal="center" wrapText="1"/>
    </xf>
    <xf numFmtId="0" fontId="2" fillId="0" borderId="3" xfId="25" applyFill="1" applyAlignment="1">
      <alignment horizontal="center"/>
    </xf>
    <xf numFmtId="0" fontId="2" fillId="0" borderId="6" xfId="23" applyFont="1" applyFill="1" applyBorder="1" applyAlignment="1">
      <alignment horizontal="center"/>
      <protection/>
    </xf>
    <xf numFmtId="0" fontId="2" fillId="0" borderId="6" xfId="23" applyFont="1" applyFill="1" applyBorder="1" applyAlignment="1">
      <alignment horizontal="center"/>
      <protection/>
    </xf>
    <xf numFmtId="0" fontId="2" fillId="0" borderId="6" xfId="23" applyFont="1" applyFill="1" applyBorder="1" applyAlignment="1">
      <alignment horizontal="center"/>
      <protection/>
    </xf>
    <xf numFmtId="0" fontId="12" fillId="0" borderId="6" xfId="28" applyFill="1" applyBorder="1" applyAlignment="1">
      <alignment horizontal="center"/>
    </xf>
    <xf numFmtId="9" fontId="9" fillId="4" borderId="2" xfId="24" applyNumberFormat="1"/>
    <xf numFmtId="0" fontId="0" fillId="0" borderId="0" xfId="0" applyFont="1"/>
    <xf numFmtId="0" fontId="26" fillId="6" borderId="6" xfId="23" applyFont="1" applyFill="1" applyBorder="1" applyAlignment="1">
      <alignment vertical="center" wrapText="1"/>
      <protection/>
    </xf>
    <xf numFmtId="0" fontId="26" fillId="6" borderId="8" xfId="23" applyFont="1" applyFill="1" applyBorder="1" applyAlignment="1">
      <alignment horizontal="center" vertical="center" wrapText="1"/>
      <protection/>
    </xf>
    <xf numFmtId="0" fontId="26" fillId="6" borderId="8" xfId="23" applyFont="1" applyFill="1" applyBorder="1" applyAlignment="1">
      <alignment vertical="center" wrapText="1"/>
      <protection/>
    </xf>
    <xf numFmtId="0" fontId="16" fillId="0" borderId="0" xfId="0" applyFont="1" applyAlignment="1">
      <alignment wrapText="1"/>
    </xf>
    <xf numFmtId="9" fontId="0" fillId="0" borderId="0" xfId="15" applyFont="1" applyAlignment="1">
      <alignment wrapText="1"/>
    </xf>
    <xf numFmtId="1" fontId="4" fillId="0" borderId="0" xfId="15" applyNumberFormat="1" applyFont="1" applyAlignment="1">
      <alignment horizontal="center" wrapText="1"/>
    </xf>
    <xf numFmtId="9" fontId="4" fillId="0" borderId="0" xfId="15" applyFont="1" applyAlignment="1">
      <alignment wrapText="1"/>
    </xf>
    <xf numFmtId="0" fontId="1" fillId="0" borderId="0" xfId="21" applyFont="1" applyFill="1" applyAlignment="1">
      <alignment wrapText="1"/>
      <protection/>
    </xf>
    <xf numFmtId="0" fontId="10" fillId="0" borderId="0" xfId="21" applyFont="1" applyFill="1" applyAlignment="1">
      <alignment wrapText="1"/>
      <protection/>
    </xf>
    <xf numFmtId="0" fontId="27" fillId="0" borderId="0" xfId="0" applyFont="1" applyFill="1"/>
    <xf numFmtId="0" fontId="27" fillId="0" borderId="0" xfId="0" applyFont="1" applyFill="1" applyAlignment="1">
      <alignment wrapText="1"/>
    </xf>
    <xf numFmtId="0" fontId="1" fillId="0" borderId="1" xfId="28" applyFont="1" applyFill="1" applyBorder="1" applyAlignment="1">
      <alignment wrapText="1"/>
    </xf>
    <xf numFmtId="0" fontId="1" fillId="0" borderId="0" xfId="27" applyFont="1" applyFill="1"/>
    <xf numFmtId="0" fontId="1" fillId="0" borderId="0" xfId="21" applyFont="1" applyFill="1" applyBorder="1" applyAlignment="1">
      <alignment wrapText="1"/>
      <protection/>
    </xf>
    <xf numFmtId="0" fontId="1" fillId="0" borderId="1" xfId="22" applyFont="1" applyFill="1" applyAlignment="1">
      <alignment wrapText="1"/>
    </xf>
    <xf numFmtId="0" fontId="1" fillId="0" borderId="0" xfId="28" applyFont="1" applyFill="1" applyAlignment="1">
      <alignment wrapText="1"/>
    </xf>
    <xf numFmtId="0" fontId="1" fillId="0" borderId="0" xfId="27" applyFont="1" applyFill="1" applyAlignment="1">
      <alignment wrapText="1"/>
    </xf>
    <xf numFmtId="0" fontId="1" fillId="0" borderId="0" xfId="28" applyFont="1" applyFill="1"/>
    <xf numFmtId="0" fontId="1" fillId="0" borderId="1" xfId="22" applyFont="1" applyFill="1"/>
    <xf numFmtId="0" fontId="28" fillId="0" borderId="0" xfId="21" applyFont="1" applyFill="1" applyAlignment="1">
      <alignment wrapText="1"/>
      <protection/>
    </xf>
    <xf numFmtId="0" fontId="20" fillId="6" borderId="6" xfId="21" applyFont="1" applyFill="1" applyBorder="1" applyAlignment="1" applyProtection="1">
      <alignment vertical="center" wrapText="1"/>
      <protection/>
    </xf>
    <xf numFmtId="0" fontId="20" fillId="11" borderId="6" xfId="21" applyFont="1" applyFill="1" applyBorder="1" applyAlignment="1" applyProtection="1">
      <alignment vertical="center" wrapText="1"/>
      <protection/>
    </xf>
    <xf numFmtId="0" fontId="10" fillId="11" borderId="1" xfId="32" applyFont="1" applyBorder="1" applyAlignment="1" applyProtection="1">
      <alignment vertical="center" wrapText="1"/>
      <protection/>
    </xf>
    <xf numFmtId="0" fontId="20" fillId="14" borderId="6" xfId="21" applyFont="1" applyFill="1" applyBorder="1" applyAlignment="1" applyProtection="1">
      <alignment vertical="center" wrapText="1"/>
      <protection/>
    </xf>
    <xf numFmtId="0" fontId="20" fillId="14" borderId="8" xfId="21" applyFont="1" applyFill="1" applyBorder="1" applyAlignment="1" applyProtection="1">
      <alignment vertical="center" wrapText="1"/>
      <protection/>
    </xf>
    <xf numFmtId="0" fontId="20" fillId="14" borderId="9" xfId="21" applyFont="1" applyFill="1" applyBorder="1" applyAlignment="1" applyProtection="1">
      <alignment vertical="center" wrapText="1"/>
      <protection/>
    </xf>
    <xf numFmtId="0" fontId="0" fillId="0" borderId="0" xfId="0" applyProtection="1">
      <protection/>
    </xf>
    <xf numFmtId="14" fontId="2" fillId="0" borderId="9" xfId="21" applyNumberFormat="1" applyBorder="1" applyProtection="1">
      <alignment/>
      <protection/>
    </xf>
    <xf numFmtId="0" fontId="2" fillId="0" borderId="9" xfId="21" applyBorder="1" applyAlignment="1" applyProtection="1">
      <alignment wrapText="1"/>
      <protection/>
    </xf>
    <xf numFmtId="0" fontId="4" fillId="0" borderId="9" xfId="21" applyFont="1" applyBorder="1" applyAlignment="1" applyProtection="1">
      <alignment wrapText="1"/>
      <protection/>
    </xf>
    <xf numFmtId="0" fontId="2" fillId="0" borderId="9" xfId="21" applyFont="1" applyBorder="1" applyAlignment="1" applyProtection="1">
      <alignment wrapText="1"/>
      <protection/>
    </xf>
    <xf numFmtId="0" fontId="0" fillId="0" borderId="0" xfId="0" applyAlignment="1" applyProtection="1">
      <alignment wrapText="1"/>
      <protection/>
    </xf>
    <xf numFmtId="0" fontId="0" fillId="0" borderId="9" xfId="0" applyBorder="1" applyAlignment="1" applyProtection="1">
      <alignment wrapText="1"/>
      <protection/>
    </xf>
    <xf numFmtId="0" fontId="2" fillId="0" borderId="0" xfId="21" applyAlignment="1" applyProtection="1">
      <alignment wrapText="1"/>
      <protection/>
    </xf>
    <xf numFmtId="0" fontId="2" fillId="0" borderId="9" xfId="21" applyFont="1" applyBorder="1" applyProtection="1">
      <alignment/>
      <protection/>
    </xf>
    <xf numFmtId="0" fontId="2" fillId="0" borderId="0" xfId="21" applyFont="1" applyProtection="1">
      <alignment/>
      <protection/>
    </xf>
    <xf numFmtId="0" fontId="2" fillId="0" borderId="9" xfId="21" applyBorder="1" applyProtection="1">
      <alignment/>
      <protection/>
    </xf>
    <xf numFmtId="0" fontId="2" fillId="0" borderId="9" xfId="21" applyFont="1" applyBorder="1" applyAlignment="1" applyProtection="1">
      <alignment wrapText="1"/>
      <protection/>
    </xf>
    <xf numFmtId="0" fontId="2" fillId="0" borderId="9" xfId="21" applyFont="1" applyBorder="1" applyAlignment="1" applyProtection="1">
      <alignment wrapText="1"/>
      <protection/>
    </xf>
    <xf numFmtId="0" fontId="2" fillId="0" borderId="9" xfId="21" applyFont="1" applyBorder="1" applyAlignment="1" applyProtection="1">
      <alignment wrapText="1"/>
      <protection/>
    </xf>
    <xf numFmtId="0" fontId="2" fillId="0" borderId="9" xfId="21" applyFont="1" applyBorder="1" applyProtection="1">
      <alignment/>
      <protection/>
    </xf>
    <xf numFmtId="0" fontId="2" fillId="0" borderId="0" xfId="21" applyFont="1" applyFill="1" applyProtection="1">
      <alignment/>
      <protection/>
    </xf>
    <xf numFmtId="0" fontId="2" fillId="0" borderId="9" xfId="21" applyFill="1" applyBorder="1" applyAlignment="1" applyProtection="1">
      <alignment wrapText="1"/>
      <protection/>
    </xf>
    <xf numFmtId="0" fontId="2" fillId="0" borderId="9" xfId="21" applyFont="1" applyFill="1" applyBorder="1" applyAlignment="1" applyProtection="1">
      <alignment wrapText="1"/>
      <protection/>
    </xf>
    <xf numFmtId="0" fontId="2" fillId="0" borderId="0" xfId="21" applyFill="1" applyBorder="1" applyAlignment="1" applyProtection="1">
      <alignment wrapText="1"/>
      <protection/>
    </xf>
    <xf numFmtId="0" fontId="2" fillId="0" borderId="11" xfId="25" applyFont="1" applyFill="1" applyBorder="1" applyAlignment="1" applyProtection="1">
      <alignment wrapText="1"/>
      <protection/>
    </xf>
    <xf numFmtId="0" fontId="2" fillId="0" borderId="9" xfId="21" applyFill="1" applyBorder="1" applyProtection="1">
      <alignment/>
      <protection/>
    </xf>
    <xf numFmtId="0" fontId="2" fillId="0" borderId="9" xfId="21" applyFont="1" applyBorder="1" applyAlignment="1" applyProtection="1">
      <alignment wrapText="1"/>
      <protection/>
    </xf>
    <xf numFmtId="0" fontId="4" fillId="0" borderId="9" xfId="21" applyFont="1" applyFill="1" applyBorder="1" applyAlignment="1" applyProtection="1">
      <alignment wrapText="1"/>
      <protection/>
    </xf>
    <xf numFmtId="0" fontId="0" fillId="0" borderId="9" xfId="0" applyBorder="1" applyProtection="1">
      <protection/>
    </xf>
    <xf numFmtId="0" fontId="2" fillId="0" borderId="9" xfId="21" applyFont="1" applyFill="1" applyBorder="1" applyAlignment="1" applyProtection="1">
      <alignment wrapText="1"/>
      <protection/>
    </xf>
    <xf numFmtId="0" fontId="2" fillId="0" borderId="9" xfId="21" applyFont="1" applyBorder="1" applyProtection="1">
      <alignment/>
      <protection/>
    </xf>
    <xf numFmtId="0" fontId="2" fillId="5" borderId="11" xfId="25" applyFont="1" applyBorder="1" applyAlignment="1" applyProtection="1">
      <alignment wrapText="1"/>
      <protection/>
    </xf>
    <xf numFmtId="0" fontId="2" fillId="0" borderId="9" xfId="21" applyFont="1" applyBorder="1" applyAlignment="1" applyProtection="1">
      <alignment wrapText="1"/>
      <protection/>
    </xf>
    <xf numFmtId="0" fontId="2" fillId="0" borderId="9" xfId="21" applyFont="1" applyFill="1" applyBorder="1" applyAlignment="1" applyProtection="1">
      <alignment wrapText="1"/>
      <protection/>
    </xf>
    <xf numFmtId="0" fontId="2" fillId="0" borderId="9" xfId="21" applyFont="1" applyBorder="1" applyProtection="1">
      <alignment/>
      <protection/>
    </xf>
    <xf numFmtId="0" fontId="2" fillId="0" borderId="9" xfId="21" applyFont="1" applyBorder="1" applyProtection="1">
      <alignment/>
      <protection/>
    </xf>
    <xf numFmtId="0" fontId="2" fillId="0" borderId="6" xfId="21" applyFont="1" applyFill="1" applyBorder="1" applyAlignment="1" applyProtection="1">
      <alignment wrapText="1"/>
      <protection/>
    </xf>
    <xf numFmtId="0" fontId="15" fillId="0" borderId="9" xfId="0" applyFont="1" applyBorder="1" applyProtection="1">
      <protection/>
    </xf>
    <xf numFmtId="0" fontId="2" fillId="0" borderId="9" xfId="21" applyFont="1" applyFill="1" applyBorder="1" applyAlignment="1" applyProtection="1">
      <alignment wrapText="1"/>
      <protection/>
    </xf>
    <xf numFmtId="0" fontId="2" fillId="0" borderId="9" xfId="21" applyFont="1" applyFill="1" applyBorder="1" applyAlignment="1" applyProtection="1">
      <alignment wrapText="1"/>
      <protection/>
    </xf>
    <xf numFmtId="0" fontId="15" fillId="0" borderId="9" xfId="0" applyFont="1" applyBorder="1" applyAlignment="1" applyProtection="1">
      <alignment wrapText="1"/>
      <protection/>
    </xf>
    <xf numFmtId="0" fontId="2" fillId="0" borderId="9" xfId="21" applyFont="1" applyBorder="1" applyAlignment="1" applyProtection="1">
      <alignment wrapText="1"/>
      <protection/>
    </xf>
    <xf numFmtId="0" fontId="2" fillId="0" borderId="9" xfId="21" applyFont="1" applyFill="1" applyBorder="1" applyAlignment="1" applyProtection="1">
      <alignment wrapText="1"/>
      <protection/>
    </xf>
    <xf numFmtId="0" fontId="2" fillId="0" borderId="9" xfId="21" applyFont="1" applyFill="1" applyBorder="1" applyAlignment="1" applyProtection="1">
      <alignment wrapText="1"/>
      <protection/>
    </xf>
    <xf numFmtId="0" fontId="2" fillId="0" borderId="9" xfId="21" applyFont="1" applyBorder="1" applyProtection="1">
      <alignment/>
      <protection/>
    </xf>
    <xf numFmtId="0" fontId="2" fillId="0" borderId="9" xfId="0" applyFont="1" applyBorder="1" applyAlignment="1" applyProtection="1">
      <alignment wrapText="1"/>
      <protection/>
    </xf>
    <xf numFmtId="0" fontId="2" fillId="0" borderId="9" xfId="0" applyFont="1" applyBorder="1" applyProtection="1">
      <protection/>
    </xf>
    <xf numFmtId="0" fontId="2" fillId="0" borderId="9" xfId="21" applyFont="1" applyBorder="1" applyProtection="1">
      <alignment/>
      <protection/>
    </xf>
    <xf numFmtId="0" fontId="4" fillId="0" borderId="9" xfId="21" applyFont="1" applyBorder="1" applyProtection="1">
      <alignment/>
      <protection/>
    </xf>
    <xf numFmtId="0" fontId="2" fillId="0" borderId="9" xfId="21" applyFont="1" applyBorder="1" applyAlignment="1" applyProtection="1">
      <alignment wrapText="1"/>
      <protection/>
    </xf>
    <xf numFmtId="0" fontId="7" fillId="0" borderId="9" xfId="21" applyFont="1" applyBorder="1" applyAlignment="1" applyProtection="1">
      <alignment wrapText="1"/>
      <protection/>
    </xf>
    <xf numFmtId="0" fontId="2" fillId="0" borderId="9" xfId="21" applyFont="1" applyBorder="1" applyAlignment="1" applyProtection="1">
      <alignment wrapText="1"/>
      <protection/>
    </xf>
    <xf numFmtId="0" fontId="2" fillId="0" borderId="9" xfId="21" applyFont="1" applyFill="1" applyBorder="1" applyAlignment="1" applyProtection="1">
      <alignment wrapText="1"/>
      <protection/>
    </xf>
    <xf numFmtId="0" fontId="2" fillId="0" borderId="9" xfId="21" applyFont="1" applyFill="1" applyBorder="1" applyAlignment="1" applyProtection="1">
      <alignment wrapText="1"/>
      <protection/>
    </xf>
    <xf numFmtId="0" fontId="2" fillId="0" borderId="9" xfId="21" applyFont="1" applyBorder="1" applyProtection="1">
      <alignment/>
      <protection/>
    </xf>
    <xf numFmtId="14" fontId="0" fillId="0" borderId="9" xfId="0" applyNumberFormat="1" applyBorder="1" applyProtection="1">
      <protection/>
    </xf>
    <xf numFmtId="0" fontId="2" fillId="0" borderId="9" xfId="21" applyFont="1" applyFill="1" applyBorder="1" applyAlignment="1" applyProtection="1">
      <alignment wrapText="1"/>
      <protection/>
    </xf>
    <xf numFmtId="0" fontId="2" fillId="0" borderId="9" xfId="21" applyFont="1" applyFill="1" applyBorder="1" applyAlignment="1" applyProtection="1">
      <alignment wrapText="1"/>
      <protection/>
    </xf>
    <xf numFmtId="0" fontId="26" fillId="6" borderId="12" xfId="23" applyFont="1" applyFill="1" applyBorder="1" applyAlignment="1">
      <alignment horizontal="center" vertical="center" wrapText="1"/>
      <protection/>
    </xf>
    <xf numFmtId="0" fontId="26" fillId="6" borderId="13" xfId="23" applyFont="1" applyFill="1" applyBorder="1" applyAlignment="1">
      <alignment horizontal="center" vertical="center" wrapText="1"/>
      <protection/>
    </xf>
    <xf numFmtId="0" fontId="6" fillId="6" borderId="12" xfId="23" applyFont="1" applyFill="1" applyBorder="1" applyAlignment="1">
      <alignment horizontal="center" vertical="center" wrapText="1"/>
      <protection/>
    </xf>
    <xf numFmtId="0" fontId="6" fillId="6" borderId="13" xfId="23" applyFont="1" applyFill="1" applyBorder="1" applyAlignment="1">
      <alignment horizontal="center" vertical="center" wrapText="1"/>
      <protection/>
    </xf>
    <xf numFmtId="0" fontId="20" fillId="6" borderId="12" xfId="23" applyFont="1" applyFill="1" applyBorder="1" applyAlignment="1">
      <alignment horizontal="center" vertical="center" wrapText="1"/>
      <protection/>
    </xf>
    <xf numFmtId="0" fontId="20" fillId="6" borderId="13" xfId="23" applyFont="1" applyFill="1" applyBorder="1" applyAlignment="1">
      <alignment horizontal="center" vertical="center" wrapText="1"/>
      <protection/>
    </xf>
    <xf numFmtId="0" fontId="0" fillId="0" borderId="0" xfId="0" applyAlignment="1">
      <alignment horizontal="center"/>
    </xf>
    <xf numFmtId="0" fontId="17" fillId="0" borderId="0" xfId="0" applyFont="1" applyAlignment="1">
      <alignment horizontal="center"/>
    </xf>
    <xf numFmtId="0" fontId="18" fillId="0" borderId="0" xfId="0" applyFont="1" applyAlignment="1">
      <alignment horizontal="center"/>
    </xf>
    <xf numFmtId="0" fontId="18" fillId="0" borderId="13" xfId="0" applyFont="1" applyBorder="1" applyAlignment="1">
      <alignment horizontal="center"/>
    </xf>
    <xf numFmtId="0" fontId="2" fillId="0" borderId="0" xfId="23" applyAlignment="1">
      <alignment horizontal="center"/>
      <protection/>
    </xf>
    <xf numFmtId="0" fontId="2" fillId="0" borderId="13" xfId="23" applyBorder="1" applyAlignment="1">
      <alignment horizontal="center"/>
      <protection/>
    </xf>
    <xf numFmtId="0" fontId="5" fillId="2" borderId="0" xfId="20" applyAlignment="1">
      <alignment horizontal="center" wrapText="1"/>
    </xf>
    <xf numFmtId="0" fontId="5" fillId="2" borderId="0" xfId="20" applyAlignment="1">
      <alignment horizontal="center"/>
    </xf>
    <xf numFmtId="0" fontId="0" fillId="0" borderId="0" xfId="30">
      <alignment/>
      <protection/>
    </xf>
    <xf numFmtId="0" fontId="29" fillId="0" borderId="0" xfId="0" applyFont="1" applyAlignment="1">
      <alignment horizontal="center"/>
    </xf>
    <xf numFmtId="0" fontId="29" fillId="0" borderId="0" xfId="0" applyFont="1" applyAlignment="1">
      <alignment horizontal="center"/>
    </xf>
    <xf numFmtId="0" fontId="2" fillId="0" borderId="0" xfId="0" applyFont="1" applyFill="1" applyAlignment="1">
      <alignment wrapText="1"/>
    </xf>
    <xf numFmtId="0" fontId="2" fillId="0" borderId="0" xfId="0" applyFont="1" applyFill="1"/>
    <xf numFmtId="9" fontId="2" fillId="0" borderId="0" xfId="0" applyNumberFormat="1" applyFont="1" applyFill="1"/>
    <xf numFmtId="10" fontId="2" fillId="0" borderId="0" xfId="0" applyNumberFormat="1" applyFont="1" applyFill="1"/>
    <xf numFmtId="0" fontId="29" fillId="0" borderId="13" xfId="0" applyFont="1" applyBorder="1" applyAlignment="1">
      <alignment horizontal="center"/>
    </xf>
    <xf numFmtId="0" fontId="20" fillId="11" borderId="6" xfId="23" applyFont="1" applyFill="1" applyBorder="1" applyAlignment="1">
      <alignment vertical="center" wrapText="1"/>
      <protection/>
    </xf>
    <xf numFmtId="0" fontId="20" fillId="11" borderId="9" xfId="23" applyFont="1" applyFill="1" applyBorder="1" applyAlignment="1">
      <alignment vertical="center" wrapText="1"/>
      <protection/>
    </xf>
    <xf numFmtId="0" fontId="20" fillId="11" borderId="0" xfId="23" applyFont="1" applyFill="1" applyAlignment="1">
      <alignment vertical="center" wrapText="1"/>
      <protection/>
    </xf>
    <xf numFmtId="0" fontId="3" fillId="3" borderId="1" xfId="22" applyAlignment="1">
      <alignment vertical="center" wrapText="1"/>
    </xf>
    <xf numFmtId="0" fontId="4" fillId="0" borderId="9" xfId="23" applyFont="1" applyBorder="1" applyAlignment="1">
      <alignment wrapText="1"/>
      <protection/>
    </xf>
    <xf numFmtId="0" fontId="2" fillId="0" borderId="9" xfId="23" applyBorder="1" applyAlignment="1">
      <alignment wrapText="1"/>
      <protection/>
    </xf>
    <xf numFmtId="0" fontId="0" fillId="0" borderId="9" xfId="0" applyBorder="1" applyAlignment="1">
      <alignment wrapText="1"/>
    </xf>
    <xf numFmtId="0" fontId="0" fillId="0" borderId="9" xfId="0" applyBorder="1"/>
    <xf numFmtId="0" fontId="4" fillId="0" borderId="9" xfId="23" applyFont="1" applyBorder="1">
      <alignment/>
      <protection/>
    </xf>
    <xf numFmtId="0" fontId="16" fillId="0" borderId="0" xfId="0" applyFont="1"/>
  </cellXfs>
  <cellStyles count="19">
    <cellStyle name="Normal" xfId="0"/>
    <cellStyle name="Percent" xfId="15"/>
    <cellStyle name="Currency" xfId="16"/>
    <cellStyle name="Currency [0]" xfId="17"/>
    <cellStyle name="Comma" xfId="18"/>
    <cellStyle name="Comma [0]" xfId="19"/>
    <cellStyle name="Accent2" xfId="20"/>
    <cellStyle name="Normale 2" xfId="21"/>
    <cellStyle name="Input 2" xfId="22"/>
    <cellStyle name="Normale 2 2" xfId="23"/>
    <cellStyle name="Output 2" xfId="24"/>
    <cellStyle name="Nota 2" xfId="25"/>
    <cellStyle name="20% - Colore 4 2" xfId="26"/>
    <cellStyle name="Good" xfId="27"/>
    <cellStyle name="Bad" xfId="28"/>
    <cellStyle name="Neutral" xfId="29"/>
    <cellStyle name="Normal 2" xfId="30"/>
    <cellStyle name="Check Cell" xfId="31"/>
    <cellStyle name="60% - Accent6" xfId="32"/>
  </cellStyles>
  <dxfs count="7">
    <dxf>
      <font>
        <b/>
        <i val="0"/>
      </font>
      <fill>
        <patternFill>
          <bgColor rgb="FFFF0000"/>
        </patternFill>
      </fill>
      <border/>
    </dxf>
    <dxf>
      <font>
        <b/>
        <i val="0"/>
      </font>
      <fill>
        <patternFill>
          <bgColor rgb="FFFF0000"/>
        </patternFill>
      </fill>
      <border/>
    </dxf>
    <dxf>
      <font>
        <b/>
        <i val="0"/>
      </font>
      <fill>
        <patternFill>
          <bgColor rgb="FFFF0000"/>
        </patternFill>
      </fill>
      <border/>
    </dxf>
    <dxf>
      <font>
        <b/>
        <i val="0"/>
      </font>
      <fill>
        <patternFill>
          <bgColor rgb="FFFF0000"/>
        </patternFill>
      </fill>
      <border/>
    </dxf>
    <dxf>
      <font>
        <b/>
        <i val="0"/>
      </font>
      <fill>
        <patternFill>
          <bgColor rgb="FFFF0000"/>
        </patternFill>
      </fill>
      <border/>
    </dxf>
    <dxf>
      <font>
        <b/>
        <i val="0"/>
      </font>
      <fill>
        <patternFill>
          <bgColor rgb="FFFF00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'Stakeholders involved'!$E$55:$F$55</c:f>
              <c:strCache>
                <c:ptCount val="1"/>
                <c:pt idx="0">
                  <c:v>Scoping</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'Stakeholders involved'!$G$54:$AA$54</c:f>
              <c:strCache/>
            </c:strRef>
          </c:cat>
          <c:val>
            <c:numRef>
              <c:f>'Stakeholders involved'!$G$55:$AA$55</c:f>
              <c:numCache/>
            </c:numRef>
          </c:val>
        </c:ser>
        <c:ser>
          <c:idx val="1"/>
          <c:order val="1"/>
          <c:tx>
            <c:strRef>
              <c:f>'Stakeholders involved'!$E$56:$F$56</c:f>
              <c:strCache>
                <c:ptCount val="1"/>
                <c:pt idx="0">
                  <c:v>Drafting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'Stakeholders involved'!$G$54:$AA$54</c:f>
              <c:strCache/>
            </c:strRef>
          </c:cat>
          <c:val>
            <c:numRef>
              <c:f>'Stakeholders involved'!$G$56:$AA$56</c:f>
              <c:numCache/>
            </c:numRef>
          </c:val>
        </c:ser>
        <c:ser>
          <c:idx val="2"/>
          <c:order val="2"/>
          <c:tx>
            <c:strRef>
              <c:f>'Stakeholders involved'!$E$57:$F$57</c:f>
              <c:strCache>
                <c:ptCount val="1"/>
                <c:pt idx="0">
                  <c:v>Consensus-building</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'Stakeholders involved'!$G$54:$AA$54</c:f>
              <c:strCache/>
            </c:strRef>
          </c:cat>
          <c:val>
            <c:numRef>
              <c:f>'Stakeholders involved'!$G$57:$AA$57</c:f>
              <c:numCache/>
            </c:numRef>
          </c:val>
        </c:ser>
        <c:overlap val="-27"/>
        <c:gapWidth val="219"/>
        <c:axId val="15878354"/>
        <c:axId val="8687459"/>
      </c:barChart>
      <c:catAx>
        <c:axId val="1587835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8687459"/>
        <c:crosses val="autoZero"/>
        <c:auto val="1"/>
        <c:lblOffset val="100"/>
        <c:noMultiLvlLbl val="0"/>
      </c:catAx>
      <c:valAx>
        <c:axId val="8687459"/>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5878354"/>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61</xdr:row>
      <xdr:rowOff>28575</xdr:rowOff>
    </xdr:from>
    <xdr:to>
      <xdr:col>25</xdr:col>
      <xdr:colOff>247650</xdr:colOff>
      <xdr:row>92</xdr:row>
      <xdr:rowOff>0</xdr:rowOff>
    </xdr:to>
    <xdr:graphicFrame macro="">
      <xdr:nvGraphicFramePr>
        <xdr:cNvPr id="3" name="Chart 2"/>
        <xdr:cNvGraphicFramePr/>
      </xdr:nvGraphicFramePr>
      <xdr:xfrm>
        <a:off x="7696200" y="73752075"/>
        <a:ext cx="19469100" cy="6172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Custom 9">
      <a:dk1>
        <a:sysClr val="windowText" lastClr="000000"/>
      </a:dk1>
      <a:lt1>
        <a:sysClr val="window" lastClr="FFFFFF"/>
      </a:lt1>
      <a:dk2>
        <a:srgbClr val="44546A"/>
      </a:dk2>
      <a:lt2>
        <a:srgbClr val="E7E6E6"/>
      </a:lt2>
      <a:accent1>
        <a:srgbClr val="48A1FA"/>
      </a:accent1>
      <a:accent2>
        <a:srgbClr val="ED7D31"/>
      </a:accent2>
      <a:accent3>
        <a:srgbClr val="A5A5A5"/>
      </a:accent3>
      <a:accent4>
        <a:srgbClr val="FFC000"/>
      </a:accent4>
      <a:accent5>
        <a:srgbClr val="C000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45"/>
  <sheetViews>
    <sheetView zoomScale="70" zoomScaleNormal="70" workbookViewId="0" topLeftCell="A1">
      <pane xSplit="3" ySplit="1" topLeftCell="D2" activePane="bottomRight" state="frozen"/>
      <selection pane="topRight" activeCell="E1" sqref="E1"/>
      <selection pane="bottomLeft" activeCell="A2" sqref="A2"/>
      <selection pane="bottomRight" activeCell="I1" sqref="I1:I1048576"/>
    </sheetView>
  </sheetViews>
  <sheetFormatPr defaultColWidth="9.00390625" defaultRowHeight="15.75"/>
  <cols>
    <col min="1" max="1" width="11.25390625" style="157" bestFit="1" customWidth="1"/>
    <col min="2" max="2" width="19.375" style="157" customWidth="1"/>
    <col min="3" max="3" width="28.25390625" style="157" customWidth="1"/>
    <col min="4" max="6" width="9.00390625" style="157" customWidth="1"/>
    <col min="7" max="7" width="22.375" style="157" customWidth="1"/>
    <col min="8" max="8" width="15.25390625" style="157" bestFit="1" customWidth="1"/>
    <col min="9" max="9" width="20.25390625" style="157" bestFit="1" customWidth="1"/>
    <col min="10" max="10" width="19.25390625" style="157" bestFit="1" customWidth="1"/>
    <col min="11" max="11" width="45.125" style="157" customWidth="1"/>
    <col min="12" max="12" width="33.00390625" style="157" customWidth="1"/>
    <col min="13" max="13" width="32.25390625" style="157" bestFit="1" customWidth="1"/>
    <col min="14" max="14" width="18.25390625" style="134" customWidth="1"/>
    <col min="15" max="15" width="21.875" style="134" bestFit="1" customWidth="1"/>
    <col min="16" max="16" width="15.625" style="134" bestFit="1" customWidth="1"/>
    <col min="17" max="16384" width="9.00390625" style="134" customWidth="1"/>
  </cols>
  <sheetData>
    <row r="1" spans="1:16" ht="57.6">
      <c r="A1" s="128" t="s">
        <v>0</v>
      </c>
      <c r="B1" s="129" t="s">
        <v>1</v>
      </c>
      <c r="C1" s="129" t="s">
        <v>2</v>
      </c>
      <c r="D1" s="129" t="s">
        <v>3</v>
      </c>
      <c r="E1" s="129" t="s">
        <v>4</v>
      </c>
      <c r="F1" s="129" t="s">
        <v>5</v>
      </c>
      <c r="G1" s="130" t="s">
        <v>520</v>
      </c>
      <c r="H1" s="129" t="s">
        <v>6</v>
      </c>
      <c r="I1" s="131" t="s">
        <v>476</v>
      </c>
      <c r="J1" s="131" t="s">
        <v>160</v>
      </c>
      <c r="K1" s="131" t="s">
        <v>159</v>
      </c>
      <c r="L1" s="131" t="s">
        <v>10</v>
      </c>
      <c r="M1" s="131" t="s">
        <v>175</v>
      </c>
      <c r="N1" s="131" t="s">
        <v>276</v>
      </c>
      <c r="O1" s="132" t="s">
        <v>521</v>
      </c>
      <c r="P1" s="133" t="s">
        <v>470</v>
      </c>
    </row>
    <row r="2" spans="1:16" ht="118.5" customHeight="1">
      <c r="A2" s="135">
        <v>43504</v>
      </c>
      <c r="B2" s="136" t="s">
        <v>11</v>
      </c>
      <c r="C2" s="137" t="s">
        <v>12</v>
      </c>
      <c r="D2" s="136">
        <v>2017</v>
      </c>
      <c r="E2" s="136" t="s">
        <v>107</v>
      </c>
      <c r="F2" s="138" t="s">
        <v>196</v>
      </c>
      <c r="G2" s="139" t="s">
        <v>268</v>
      </c>
      <c r="H2" s="140" t="s">
        <v>315</v>
      </c>
      <c r="I2" s="141" t="s">
        <v>477</v>
      </c>
      <c r="J2" s="136" t="s">
        <v>206</v>
      </c>
      <c r="K2" s="136" t="s">
        <v>182</v>
      </c>
      <c r="L2" s="136" t="s">
        <v>197</v>
      </c>
      <c r="M2" s="136" t="s">
        <v>377</v>
      </c>
      <c r="N2" s="142" t="s">
        <v>18</v>
      </c>
      <c r="O2" s="143" t="s">
        <v>18</v>
      </c>
      <c r="P2" s="134" t="s">
        <v>369</v>
      </c>
    </row>
    <row r="3" spans="1:16" ht="132.6">
      <c r="A3" s="135">
        <v>43504</v>
      </c>
      <c r="B3" s="136" t="s">
        <v>19</v>
      </c>
      <c r="C3" s="137" t="s">
        <v>20</v>
      </c>
      <c r="D3" s="144">
        <v>2015</v>
      </c>
      <c r="E3" s="136" t="s">
        <v>107</v>
      </c>
      <c r="F3" s="138" t="s">
        <v>199</v>
      </c>
      <c r="G3" s="139" t="s">
        <v>266</v>
      </c>
      <c r="H3" s="140" t="s">
        <v>335</v>
      </c>
      <c r="I3" s="141" t="s">
        <v>217</v>
      </c>
      <c r="J3" s="136" t="s">
        <v>254</v>
      </c>
      <c r="K3" s="136" t="s">
        <v>202</v>
      </c>
      <c r="L3" s="136" t="s">
        <v>203</v>
      </c>
      <c r="M3" s="136" t="s">
        <v>204</v>
      </c>
      <c r="N3" s="145" t="s">
        <v>314</v>
      </c>
      <c r="O3" s="143" t="s">
        <v>257</v>
      </c>
      <c r="P3" s="134" t="s">
        <v>371</v>
      </c>
    </row>
    <row r="4" spans="1:16" ht="132.6">
      <c r="A4" s="135">
        <v>43504</v>
      </c>
      <c r="B4" s="136" t="s">
        <v>22</v>
      </c>
      <c r="C4" s="137" t="s">
        <v>23</v>
      </c>
      <c r="D4" s="144">
        <v>2015</v>
      </c>
      <c r="E4" s="136" t="s">
        <v>107</v>
      </c>
      <c r="F4" s="146" t="s">
        <v>199</v>
      </c>
      <c r="G4" s="139" t="s">
        <v>266</v>
      </c>
      <c r="H4" s="140" t="s">
        <v>336</v>
      </c>
      <c r="I4" s="141" t="s">
        <v>495</v>
      </c>
      <c r="J4" s="136" t="s">
        <v>254</v>
      </c>
      <c r="K4" s="147" t="s">
        <v>472</v>
      </c>
      <c r="L4" s="136" t="s">
        <v>255</v>
      </c>
      <c r="M4" s="136" t="s">
        <v>205</v>
      </c>
      <c r="N4" s="148" t="s">
        <v>278</v>
      </c>
      <c r="O4" s="149" t="s">
        <v>21</v>
      </c>
      <c r="P4" s="134" t="s">
        <v>369</v>
      </c>
    </row>
    <row r="5" spans="1:16" ht="53.4">
      <c r="A5" s="135">
        <v>43504</v>
      </c>
      <c r="B5" s="150" t="s">
        <v>25</v>
      </c>
      <c r="C5" s="137" t="s">
        <v>26</v>
      </c>
      <c r="D5" s="144">
        <v>2014</v>
      </c>
      <c r="E5" s="150" t="s">
        <v>27</v>
      </c>
      <c r="F5" s="151" t="s">
        <v>209</v>
      </c>
      <c r="G5" s="139" t="s">
        <v>268</v>
      </c>
      <c r="H5" s="140" t="s">
        <v>317</v>
      </c>
      <c r="I5" s="152" t="s">
        <v>478</v>
      </c>
      <c r="J5" s="150" t="s">
        <v>214</v>
      </c>
      <c r="K5" s="136" t="s">
        <v>182</v>
      </c>
      <c r="L5" s="144" t="s">
        <v>28</v>
      </c>
      <c r="M5" s="144" t="s">
        <v>17</v>
      </c>
      <c r="N5" s="142" t="s">
        <v>278</v>
      </c>
      <c r="O5" s="143" t="s">
        <v>21</v>
      </c>
      <c r="P5" s="134" t="s">
        <v>370</v>
      </c>
    </row>
    <row r="6" spans="1:16" ht="225">
      <c r="A6" s="135">
        <v>43504</v>
      </c>
      <c r="B6" s="136" t="s">
        <v>31</v>
      </c>
      <c r="C6" s="137" t="s">
        <v>32</v>
      </c>
      <c r="D6" s="144">
        <v>2017</v>
      </c>
      <c r="E6" s="150" t="s">
        <v>107</v>
      </c>
      <c r="F6" s="151" t="s">
        <v>209</v>
      </c>
      <c r="G6" s="139" t="s">
        <v>268</v>
      </c>
      <c r="H6" s="140" t="s">
        <v>340</v>
      </c>
      <c r="I6" s="152" t="s">
        <v>217</v>
      </c>
      <c r="J6" s="150" t="s">
        <v>254</v>
      </c>
      <c r="K6" s="153" t="s">
        <v>201</v>
      </c>
      <c r="L6" s="136" t="s">
        <v>210</v>
      </c>
      <c r="M6" s="136" t="s">
        <v>211</v>
      </c>
      <c r="N6" s="144" t="s">
        <v>280</v>
      </c>
      <c r="O6" s="143" t="s">
        <v>21</v>
      </c>
      <c r="P6" s="134" t="s">
        <v>371</v>
      </c>
    </row>
    <row r="7" spans="1:16" ht="119.4">
      <c r="A7" s="135">
        <v>43504</v>
      </c>
      <c r="B7" s="136" t="s">
        <v>34</v>
      </c>
      <c r="C7" s="137" t="s">
        <v>35</v>
      </c>
      <c r="D7" s="144">
        <v>2016</v>
      </c>
      <c r="E7" s="150" t="s">
        <v>107</v>
      </c>
      <c r="F7" s="151" t="s">
        <v>212</v>
      </c>
      <c r="G7" s="139" t="s">
        <v>268</v>
      </c>
      <c r="H7" s="140" t="s">
        <v>213</v>
      </c>
      <c r="I7" s="152" t="s">
        <v>479</v>
      </c>
      <c r="J7" s="150" t="s">
        <v>157</v>
      </c>
      <c r="K7" s="154" t="s">
        <v>33</v>
      </c>
      <c r="L7" s="150" t="s">
        <v>256</v>
      </c>
      <c r="M7" s="136" t="s">
        <v>368</v>
      </c>
      <c r="N7" s="155" t="s">
        <v>281</v>
      </c>
      <c r="O7" s="149" t="s">
        <v>21</v>
      </c>
      <c r="P7" s="134" t="s">
        <v>371</v>
      </c>
    </row>
    <row r="8" spans="1:16" ht="93.6">
      <c r="A8" s="135">
        <v>43504</v>
      </c>
      <c r="B8" s="136" t="s">
        <v>36</v>
      </c>
      <c r="C8" s="137" t="s">
        <v>37</v>
      </c>
      <c r="D8" s="144">
        <v>2015</v>
      </c>
      <c r="E8" s="150" t="s">
        <v>27</v>
      </c>
      <c r="F8" s="151" t="s">
        <v>215</v>
      </c>
      <c r="G8" s="139" t="s">
        <v>268</v>
      </c>
      <c r="H8" s="140" t="s">
        <v>316</v>
      </c>
      <c r="I8" s="152" t="s">
        <v>217</v>
      </c>
      <c r="J8" s="150" t="s">
        <v>258</v>
      </c>
      <c r="K8" s="136" t="s">
        <v>201</v>
      </c>
      <c r="L8" s="136" t="s">
        <v>216</v>
      </c>
      <c r="M8" s="136" t="s">
        <v>282</v>
      </c>
      <c r="N8" s="144"/>
      <c r="O8" s="143" t="s">
        <v>18</v>
      </c>
      <c r="P8" s="134" t="s">
        <v>370</v>
      </c>
    </row>
    <row r="9" spans="1:16" ht="79.8">
      <c r="A9" s="135">
        <v>43504</v>
      </c>
      <c r="B9" s="136" t="s">
        <v>38</v>
      </c>
      <c r="C9" s="156" t="s">
        <v>39</v>
      </c>
      <c r="D9" s="144">
        <v>2018</v>
      </c>
      <c r="E9" s="150" t="s">
        <v>107</v>
      </c>
      <c r="F9" s="151" t="s">
        <v>218</v>
      </c>
      <c r="G9" s="139" t="s">
        <v>266</v>
      </c>
      <c r="H9" s="157" t="s">
        <v>318</v>
      </c>
      <c r="I9" s="152" t="s">
        <v>480</v>
      </c>
      <c r="J9" s="150" t="s">
        <v>29</v>
      </c>
      <c r="K9" s="136" t="s">
        <v>201</v>
      </c>
      <c r="L9" s="136" t="s">
        <v>283</v>
      </c>
      <c r="M9" s="136" t="s">
        <v>284</v>
      </c>
      <c r="N9" s="145" t="s">
        <v>285</v>
      </c>
      <c r="O9" s="143" t="s">
        <v>21</v>
      </c>
      <c r="P9" s="134" t="s">
        <v>369</v>
      </c>
    </row>
    <row r="10" spans="1:16" ht="159">
      <c r="A10" s="135">
        <v>43504</v>
      </c>
      <c r="B10" s="136" t="s">
        <v>41</v>
      </c>
      <c r="C10" s="156" t="s">
        <v>42</v>
      </c>
      <c r="D10" s="144">
        <v>2018</v>
      </c>
      <c r="E10" s="150" t="s">
        <v>107</v>
      </c>
      <c r="F10" s="158" t="s">
        <v>219</v>
      </c>
      <c r="G10" s="139" t="s">
        <v>262</v>
      </c>
      <c r="H10" s="140" t="s">
        <v>319</v>
      </c>
      <c r="I10" s="152" t="s">
        <v>481</v>
      </c>
      <c r="J10" s="150" t="s">
        <v>29</v>
      </c>
      <c r="K10" s="136" t="s">
        <v>313</v>
      </c>
      <c r="L10" s="136" t="s">
        <v>312</v>
      </c>
      <c r="M10" s="136" t="s">
        <v>220</v>
      </c>
      <c r="N10" s="159" t="s">
        <v>297</v>
      </c>
      <c r="O10" s="143" t="s">
        <v>297</v>
      </c>
      <c r="P10" s="134" t="s">
        <v>369</v>
      </c>
    </row>
    <row r="11" spans="1:16" ht="172.2">
      <c r="A11" s="135">
        <v>43504</v>
      </c>
      <c r="B11" s="136" t="s">
        <v>43</v>
      </c>
      <c r="C11" s="156" t="s">
        <v>44</v>
      </c>
      <c r="D11" s="144">
        <v>2018</v>
      </c>
      <c r="E11" s="150" t="s">
        <v>107</v>
      </c>
      <c r="F11" s="158" t="s">
        <v>221</v>
      </c>
      <c r="G11" s="139" t="s">
        <v>268</v>
      </c>
      <c r="H11" s="140" t="s">
        <v>320</v>
      </c>
      <c r="I11" s="152" t="s">
        <v>29</v>
      </c>
      <c r="J11" s="150" t="s">
        <v>29</v>
      </c>
      <c r="K11" s="144" t="s">
        <v>33</v>
      </c>
      <c r="L11" s="136" t="s">
        <v>411</v>
      </c>
      <c r="M11" s="136" t="s">
        <v>274</v>
      </c>
      <c r="N11" s="144"/>
      <c r="O11" s="143" t="s">
        <v>18</v>
      </c>
      <c r="P11" s="134" t="s">
        <v>371</v>
      </c>
    </row>
    <row r="12" spans="1:16" ht="119.4">
      <c r="A12" s="135">
        <v>43504</v>
      </c>
      <c r="B12" s="136" t="s">
        <v>45</v>
      </c>
      <c r="C12" s="156" t="s">
        <v>46</v>
      </c>
      <c r="D12" s="144">
        <v>2015</v>
      </c>
      <c r="E12" s="150" t="s">
        <v>107</v>
      </c>
      <c r="F12" s="158" t="s">
        <v>223</v>
      </c>
      <c r="G12" s="139" t="s">
        <v>262</v>
      </c>
      <c r="H12" s="140" t="s">
        <v>321</v>
      </c>
      <c r="I12" s="152" t="s">
        <v>279</v>
      </c>
      <c r="J12" s="150" t="s">
        <v>206</v>
      </c>
      <c r="K12" s="160" t="s">
        <v>201</v>
      </c>
      <c r="L12" s="136" t="s">
        <v>286</v>
      </c>
      <c r="M12" s="136" t="s">
        <v>17</v>
      </c>
      <c r="N12" s="161" t="s">
        <v>287</v>
      </c>
      <c r="O12" s="143" t="s">
        <v>21</v>
      </c>
      <c r="P12" s="134" t="s">
        <v>371</v>
      </c>
    </row>
    <row r="13" spans="1:16" ht="106.2">
      <c r="A13" s="135">
        <v>43504</v>
      </c>
      <c r="B13" s="136" t="s">
        <v>48</v>
      </c>
      <c r="C13" s="156" t="s">
        <v>49</v>
      </c>
      <c r="D13" s="144">
        <v>2017</v>
      </c>
      <c r="E13" s="150" t="s">
        <v>107</v>
      </c>
      <c r="F13" s="162" t="s">
        <v>288</v>
      </c>
      <c r="G13" s="139" t="s">
        <v>268</v>
      </c>
      <c r="H13" s="140" t="s">
        <v>245</v>
      </c>
      <c r="I13" s="152" t="s">
        <v>217</v>
      </c>
      <c r="J13" s="150" t="s">
        <v>217</v>
      </c>
      <c r="K13" s="136" t="s">
        <v>201</v>
      </c>
      <c r="L13" s="136" t="s">
        <v>259</v>
      </c>
      <c r="M13" s="136" t="s">
        <v>418</v>
      </c>
      <c r="N13" s="163" t="s">
        <v>36</v>
      </c>
      <c r="O13" s="143" t="s">
        <v>21</v>
      </c>
      <c r="P13" s="134" t="s">
        <v>371</v>
      </c>
    </row>
    <row r="14" spans="1:16" ht="238.2">
      <c r="A14" s="135">
        <v>43507</v>
      </c>
      <c r="B14" s="136" t="s">
        <v>50</v>
      </c>
      <c r="C14" s="156" t="s">
        <v>51</v>
      </c>
      <c r="D14" s="144">
        <v>2012</v>
      </c>
      <c r="E14" s="150" t="s">
        <v>107</v>
      </c>
      <c r="F14" s="158" t="s">
        <v>224</v>
      </c>
      <c r="G14" s="139" t="s">
        <v>262</v>
      </c>
      <c r="H14" s="140" t="s">
        <v>337</v>
      </c>
      <c r="I14" s="152" t="s">
        <v>15</v>
      </c>
      <c r="J14" s="150" t="s">
        <v>206</v>
      </c>
      <c r="K14" s="136" t="s">
        <v>182</v>
      </c>
      <c r="L14" s="136" t="s">
        <v>130</v>
      </c>
      <c r="M14" s="136" t="s">
        <v>225</v>
      </c>
      <c r="N14" s="164" t="s">
        <v>36</v>
      </c>
      <c r="O14" s="143" t="s">
        <v>21</v>
      </c>
      <c r="P14" s="134" t="s">
        <v>369</v>
      </c>
    </row>
    <row r="15" spans="1:16" ht="93">
      <c r="A15" s="135">
        <v>43507</v>
      </c>
      <c r="B15" s="136" t="s">
        <v>53</v>
      </c>
      <c r="C15" s="156" t="s">
        <v>54</v>
      </c>
      <c r="D15" s="144">
        <v>2017</v>
      </c>
      <c r="E15" s="150" t="s">
        <v>107</v>
      </c>
      <c r="F15" s="158" t="s">
        <v>226</v>
      </c>
      <c r="G15" s="139" t="s">
        <v>265</v>
      </c>
      <c r="H15" s="140" t="s">
        <v>341</v>
      </c>
      <c r="I15" s="152" t="s">
        <v>482</v>
      </c>
      <c r="J15" s="150" t="s">
        <v>15</v>
      </c>
      <c r="K15" s="136" t="s">
        <v>344</v>
      </c>
      <c r="L15" s="136" t="s">
        <v>294</v>
      </c>
      <c r="M15" s="136" t="s">
        <v>293</v>
      </c>
      <c r="N15" s="144"/>
      <c r="O15" s="143" t="s">
        <v>18</v>
      </c>
      <c r="P15" s="134" t="s">
        <v>369</v>
      </c>
    </row>
    <row r="16" spans="1:16" ht="119.4">
      <c r="A16" s="135">
        <v>43507</v>
      </c>
      <c r="B16" s="136" t="s">
        <v>55</v>
      </c>
      <c r="C16" s="156" t="s">
        <v>56</v>
      </c>
      <c r="D16" s="144">
        <v>2017</v>
      </c>
      <c r="E16" s="150" t="s">
        <v>107</v>
      </c>
      <c r="F16" s="158" t="s">
        <v>227</v>
      </c>
      <c r="G16" s="139" t="s">
        <v>262</v>
      </c>
      <c r="H16" s="140" t="s">
        <v>338</v>
      </c>
      <c r="I16" s="152" t="s">
        <v>483</v>
      </c>
      <c r="J16" s="150" t="s">
        <v>214</v>
      </c>
      <c r="K16" s="136" t="s">
        <v>201</v>
      </c>
      <c r="L16" s="136" t="s">
        <v>295</v>
      </c>
      <c r="M16" s="136" t="s">
        <v>296</v>
      </c>
      <c r="N16" s="164" t="s">
        <v>18</v>
      </c>
      <c r="O16" s="143" t="s">
        <v>18</v>
      </c>
      <c r="P16" s="134" t="s">
        <v>371</v>
      </c>
    </row>
    <row r="17" spans="1:16" ht="119.4">
      <c r="A17" s="135">
        <v>43507</v>
      </c>
      <c r="B17" s="136" t="s">
        <v>58</v>
      </c>
      <c r="C17" s="137" t="s">
        <v>59</v>
      </c>
      <c r="D17" s="144">
        <v>2017</v>
      </c>
      <c r="E17" s="150" t="s">
        <v>27</v>
      </c>
      <c r="F17" s="165" t="s">
        <v>290</v>
      </c>
      <c r="G17" s="139" t="s">
        <v>265</v>
      </c>
      <c r="H17" s="157" t="s">
        <v>245</v>
      </c>
      <c r="I17" s="152" t="s">
        <v>484</v>
      </c>
      <c r="J17" s="150" t="s">
        <v>206</v>
      </c>
      <c r="K17" s="136" t="s">
        <v>201</v>
      </c>
      <c r="L17" s="136" t="s">
        <v>260</v>
      </c>
      <c r="M17" s="136" t="s">
        <v>407</v>
      </c>
      <c r="N17" s="166" t="s">
        <v>298</v>
      </c>
      <c r="O17" s="143" t="s">
        <v>21</v>
      </c>
      <c r="P17" s="134" t="s">
        <v>370</v>
      </c>
    </row>
    <row r="18" spans="1:16" ht="53.4">
      <c r="A18" s="135">
        <v>43507</v>
      </c>
      <c r="B18" s="136" t="s">
        <v>58</v>
      </c>
      <c r="C18" s="156" t="s">
        <v>60</v>
      </c>
      <c r="D18" s="144">
        <v>2017</v>
      </c>
      <c r="E18" s="150" t="s">
        <v>27</v>
      </c>
      <c r="F18" s="167" t="s">
        <v>229</v>
      </c>
      <c r="G18" s="139" t="s">
        <v>268</v>
      </c>
      <c r="H18" s="140" t="s">
        <v>322</v>
      </c>
      <c r="I18" s="152" t="s">
        <v>206</v>
      </c>
      <c r="J18" s="150" t="s">
        <v>206</v>
      </c>
      <c r="K18" s="136" t="s">
        <v>182</v>
      </c>
      <c r="L18" s="136" t="s">
        <v>230</v>
      </c>
      <c r="M18" s="136" t="s">
        <v>299</v>
      </c>
      <c r="N18" s="144"/>
      <c r="O18" s="143" t="s">
        <v>18</v>
      </c>
      <c r="P18" s="134" t="s">
        <v>370</v>
      </c>
    </row>
    <row r="19" spans="1:16" ht="79.8">
      <c r="A19" s="135">
        <v>43507</v>
      </c>
      <c r="B19" s="136" t="s">
        <v>61</v>
      </c>
      <c r="C19" s="156" t="s">
        <v>62</v>
      </c>
      <c r="D19" s="144">
        <v>2014</v>
      </c>
      <c r="E19" s="150" t="s">
        <v>27</v>
      </c>
      <c r="F19" s="168" t="s">
        <v>228</v>
      </c>
      <c r="G19" s="139" t="s">
        <v>265</v>
      </c>
      <c r="H19" s="157" t="s">
        <v>232</v>
      </c>
      <c r="I19" s="152" t="s">
        <v>485</v>
      </c>
      <c r="J19" s="150" t="s">
        <v>261</v>
      </c>
      <c r="K19" s="136" t="s">
        <v>182</v>
      </c>
      <c r="L19" s="144" t="s">
        <v>231</v>
      </c>
      <c r="M19" s="144" t="s">
        <v>17</v>
      </c>
      <c r="N19" s="169" t="s">
        <v>298</v>
      </c>
      <c r="O19" s="143" t="s">
        <v>257</v>
      </c>
      <c r="P19" s="134" t="s">
        <v>370</v>
      </c>
    </row>
    <row r="20" spans="1:16" ht="79.8">
      <c r="A20" s="135">
        <f>A19</f>
        <v>43507</v>
      </c>
      <c r="B20" s="136" t="s">
        <v>61</v>
      </c>
      <c r="C20" s="156" t="s">
        <v>63</v>
      </c>
      <c r="D20" s="144">
        <v>2015</v>
      </c>
      <c r="E20" s="150" t="s">
        <v>27</v>
      </c>
      <c r="F20" s="170" t="s">
        <v>289</v>
      </c>
      <c r="G20" s="139" t="s">
        <v>262</v>
      </c>
      <c r="H20" s="140" t="str">
        <f>F20</f>
        <v>Neglected Tropical Diseases</v>
      </c>
      <c r="I20" s="152" t="s">
        <v>96</v>
      </c>
      <c r="J20" s="150" t="s">
        <v>17</v>
      </c>
      <c r="K20" s="136" t="s">
        <v>277</v>
      </c>
      <c r="L20" s="136" t="s">
        <v>300</v>
      </c>
      <c r="M20" s="136" t="s">
        <v>346</v>
      </c>
      <c r="N20" s="169" t="s">
        <v>301</v>
      </c>
      <c r="O20" s="143" t="s">
        <v>257</v>
      </c>
      <c r="P20" s="134" t="s">
        <v>370</v>
      </c>
    </row>
    <row r="21" spans="1:16" ht="53.4">
      <c r="A21" s="135">
        <v>43507</v>
      </c>
      <c r="B21" s="136" t="s">
        <v>61</v>
      </c>
      <c r="C21" s="156" t="s">
        <v>64</v>
      </c>
      <c r="D21" s="144">
        <v>2015</v>
      </c>
      <c r="E21" s="150" t="s">
        <v>27</v>
      </c>
      <c r="F21" s="171" t="s">
        <v>233</v>
      </c>
      <c r="G21" s="139" t="s">
        <v>262</v>
      </c>
      <c r="H21" s="140" t="s">
        <v>237</v>
      </c>
      <c r="I21" s="152" t="s">
        <v>486</v>
      </c>
      <c r="J21" s="150" t="s">
        <v>29</v>
      </c>
      <c r="K21" s="136" t="s">
        <v>182</v>
      </c>
      <c r="L21" s="144" t="s">
        <v>28</v>
      </c>
      <c r="M21" s="136" t="s">
        <v>17</v>
      </c>
      <c r="N21" s="144"/>
      <c r="O21" s="143" t="s">
        <v>18</v>
      </c>
      <c r="P21" s="134" t="s">
        <v>370</v>
      </c>
    </row>
    <row r="22" spans="1:16" ht="40.2">
      <c r="A22" s="135">
        <f aca="true" t="shared" si="0" ref="A22:A44">A21</f>
        <v>43507</v>
      </c>
      <c r="B22" s="136" t="s">
        <v>65</v>
      </c>
      <c r="C22" s="156" t="s">
        <v>66</v>
      </c>
      <c r="D22" s="136">
        <v>2017</v>
      </c>
      <c r="E22" s="150" t="s">
        <v>27</v>
      </c>
      <c r="F22" s="172" t="s">
        <v>302</v>
      </c>
      <c r="G22" s="139" t="s">
        <v>268</v>
      </c>
      <c r="H22" s="140" t="s">
        <v>323</v>
      </c>
      <c r="I22" s="152" t="s">
        <v>206</v>
      </c>
      <c r="J22" s="150" t="s">
        <v>206</v>
      </c>
      <c r="K22" s="136" t="s">
        <v>17</v>
      </c>
      <c r="L22" s="144" t="s">
        <v>28</v>
      </c>
      <c r="M22" s="144" t="s">
        <v>17</v>
      </c>
      <c r="N22" s="173" t="s">
        <v>303</v>
      </c>
      <c r="O22" s="143" t="s">
        <v>303</v>
      </c>
      <c r="P22" s="134" t="s">
        <v>370</v>
      </c>
    </row>
    <row r="23" spans="1:16" ht="40.2">
      <c r="A23" s="135">
        <f t="shared" si="0"/>
        <v>43507</v>
      </c>
      <c r="B23" s="136" t="s">
        <v>65</v>
      </c>
      <c r="C23" s="156" t="s">
        <v>67</v>
      </c>
      <c r="D23" s="144">
        <v>2016</v>
      </c>
      <c r="E23" s="171" t="s">
        <v>27</v>
      </c>
      <c r="F23" s="172" t="s">
        <v>302</v>
      </c>
      <c r="G23" s="139" t="s">
        <v>268</v>
      </c>
      <c r="H23" s="140" t="s">
        <v>323</v>
      </c>
      <c r="I23" s="139" t="s">
        <v>206</v>
      </c>
      <c r="J23" s="174" t="s">
        <v>206</v>
      </c>
      <c r="K23" s="175" t="s">
        <v>17</v>
      </c>
      <c r="L23" s="157" t="s">
        <v>28</v>
      </c>
      <c r="M23" s="157" t="s">
        <v>28</v>
      </c>
      <c r="N23" s="144"/>
      <c r="O23" s="143" t="s">
        <v>18</v>
      </c>
      <c r="P23" s="134" t="s">
        <v>370</v>
      </c>
    </row>
    <row r="24" spans="1:16" ht="140.4">
      <c r="A24" s="135">
        <f t="shared" si="0"/>
        <v>43507</v>
      </c>
      <c r="B24" s="136" t="s">
        <v>36</v>
      </c>
      <c r="C24" s="156" t="s">
        <v>68</v>
      </c>
      <c r="D24" s="144">
        <v>2014</v>
      </c>
      <c r="E24" s="150" t="s">
        <v>27</v>
      </c>
      <c r="F24" s="171" t="s">
        <v>199</v>
      </c>
      <c r="G24" s="139" t="s">
        <v>266</v>
      </c>
      <c r="H24" s="140" t="s">
        <v>339</v>
      </c>
      <c r="I24" s="152" t="s">
        <v>496</v>
      </c>
      <c r="J24" s="150" t="s">
        <v>234</v>
      </c>
      <c r="K24" s="136" t="s">
        <v>201</v>
      </c>
      <c r="L24" s="150" t="s">
        <v>216</v>
      </c>
      <c r="M24" s="136" t="s">
        <v>366</v>
      </c>
      <c r="N24" s="169" t="s">
        <v>278</v>
      </c>
      <c r="O24" s="143" t="s">
        <v>304</v>
      </c>
      <c r="P24" s="134" t="s">
        <v>370</v>
      </c>
    </row>
    <row r="25" spans="1:16" ht="93">
      <c r="A25" s="135">
        <f t="shared" si="0"/>
        <v>43507</v>
      </c>
      <c r="B25" s="136" t="s">
        <v>36</v>
      </c>
      <c r="C25" s="156" t="s">
        <v>69</v>
      </c>
      <c r="D25" s="144">
        <v>2017</v>
      </c>
      <c r="E25" s="150" t="s">
        <v>27</v>
      </c>
      <c r="F25" s="171" t="s">
        <v>199</v>
      </c>
      <c r="G25" s="139" t="s">
        <v>266</v>
      </c>
      <c r="H25" s="140" t="s">
        <v>324</v>
      </c>
      <c r="I25" s="152" t="s">
        <v>484</v>
      </c>
      <c r="J25" s="150" t="s">
        <v>17</v>
      </c>
      <c r="K25" s="136" t="s">
        <v>182</v>
      </c>
      <c r="L25" s="136" t="s">
        <v>305</v>
      </c>
      <c r="M25" s="136" t="s">
        <v>435</v>
      </c>
      <c r="N25" s="176" t="s">
        <v>18</v>
      </c>
      <c r="O25" s="143" t="s">
        <v>297</v>
      </c>
      <c r="P25" s="134" t="s">
        <v>370</v>
      </c>
    </row>
    <row r="26" spans="1:16" ht="93">
      <c r="A26" s="135">
        <f t="shared" si="0"/>
        <v>43507</v>
      </c>
      <c r="B26" s="136" t="s">
        <v>36</v>
      </c>
      <c r="C26" s="156" t="s">
        <v>70</v>
      </c>
      <c r="D26" s="144">
        <v>2016</v>
      </c>
      <c r="E26" s="150" t="s">
        <v>27</v>
      </c>
      <c r="F26" s="171" t="s">
        <v>235</v>
      </c>
      <c r="G26" s="139" t="s">
        <v>267</v>
      </c>
      <c r="H26" s="140" t="s">
        <v>237</v>
      </c>
      <c r="I26" s="152" t="s">
        <v>206</v>
      </c>
      <c r="J26" s="150" t="s">
        <v>206</v>
      </c>
      <c r="K26" s="136" t="s">
        <v>182</v>
      </c>
      <c r="L26" s="144" t="s">
        <v>28</v>
      </c>
      <c r="M26" s="144" t="s">
        <v>17</v>
      </c>
      <c r="N26" s="176" t="s">
        <v>18</v>
      </c>
      <c r="O26" s="143" t="s">
        <v>297</v>
      </c>
      <c r="P26" s="134" t="s">
        <v>370</v>
      </c>
    </row>
    <row r="27" spans="1:16" ht="53.4">
      <c r="A27" s="135">
        <f t="shared" si="0"/>
        <v>43507</v>
      </c>
      <c r="B27" s="136" t="s">
        <v>36</v>
      </c>
      <c r="C27" s="156" t="s">
        <v>71</v>
      </c>
      <c r="D27" s="144">
        <v>2014</v>
      </c>
      <c r="E27" s="150" t="s">
        <v>27</v>
      </c>
      <c r="F27" s="171" t="s">
        <v>236</v>
      </c>
      <c r="G27" s="139" t="s">
        <v>236</v>
      </c>
      <c r="H27" s="140" t="s">
        <v>325</v>
      </c>
      <c r="I27" s="152" t="s">
        <v>206</v>
      </c>
      <c r="J27" s="150" t="s">
        <v>206</v>
      </c>
      <c r="K27" s="136" t="s">
        <v>182</v>
      </c>
      <c r="L27" s="144" t="s">
        <v>28</v>
      </c>
      <c r="M27" s="136" t="s">
        <v>238</v>
      </c>
      <c r="N27" s="176" t="s">
        <v>297</v>
      </c>
      <c r="O27" s="143" t="s">
        <v>297</v>
      </c>
      <c r="P27" s="134" t="s">
        <v>370</v>
      </c>
    </row>
    <row r="28" spans="1:16" ht="109.2">
      <c r="A28" s="135">
        <f t="shared" si="0"/>
        <v>43507</v>
      </c>
      <c r="B28" s="136" t="s">
        <v>36</v>
      </c>
      <c r="C28" s="156" t="s">
        <v>72</v>
      </c>
      <c r="D28" s="144">
        <v>2018</v>
      </c>
      <c r="E28" s="150" t="s">
        <v>27</v>
      </c>
      <c r="F28" s="171" t="s">
        <v>239</v>
      </c>
      <c r="G28" s="139" t="s">
        <v>262</v>
      </c>
      <c r="H28" s="140" t="s">
        <v>326</v>
      </c>
      <c r="I28" s="152" t="s">
        <v>279</v>
      </c>
      <c r="J28" s="150" t="s">
        <v>17</v>
      </c>
      <c r="K28" s="136" t="s">
        <v>201</v>
      </c>
      <c r="L28" s="136" t="s">
        <v>240</v>
      </c>
      <c r="M28" s="136" t="s">
        <v>443</v>
      </c>
      <c r="N28" s="176" t="s">
        <v>18</v>
      </c>
      <c r="O28" s="143" t="s">
        <v>18</v>
      </c>
      <c r="P28" s="134" t="s">
        <v>370</v>
      </c>
    </row>
    <row r="29" spans="1:16" ht="66.6">
      <c r="A29" s="135">
        <f t="shared" si="0"/>
        <v>43507</v>
      </c>
      <c r="B29" s="136" t="s">
        <v>36</v>
      </c>
      <c r="C29" s="177" t="s">
        <v>73</v>
      </c>
      <c r="D29" s="144">
        <v>2016</v>
      </c>
      <c r="E29" s="150" t="s">
        <v>27</v>
      </c>
      <c r="F29" s="178" t="s">
        <v>291</v>
      </c>
      <c r="G29" s="139" t="s">
        <v>262</v>
      </c>
      <c r="I29" s="152" t="s">
        <v>292</v>
      </c>
      <c r="J29" s="150" t="s">
        <v>17</v>
      </c>
      <c r="K29" s="136" t="s">
        <v>201</v>
      </c>
      <c r="L29" s="136" t="s">
        <v>240</v>
      </c>
      <c r="M29" s="144" t="s">
        <v>222</v>
      </c>
      <c r="N29" s="176" t="s">
        <v>297</v>
      </c>
      <c r="O29" s="143" t="s">
        <v>297</v>
      </c>
      <c r="P29" s="134" t="s">
        <v>370</v>
      </c>
    </row>
    <row r="30" spans="1:16" ht="62.4">
      <c r="A30" s="135">
        <f t="shared" si="0"/>
        <v>43507</v>
      </c>
      <c r="B30" s="179" t="s">
        <v>75</v>
      </c>
      <c r="C30" s="156" t="s">
        <v>76</v>
      </c>
      <c r="D30" s="144">
        <v>2015</v>
      </c>
      <c r="E30" s="150" t="s">
        <v>107</v>
      </c>
      <c r="F30" s="171" t="s">
        <v>233</v>
      </c>
      <c r="G30" s="139" t="s">
        <v>262</v>
      </c>
      <c r="H30" s="140" t="s">
        <v>327</v>
      </c>
      <c r="I30" s="152" t="s">
        <v>206</v>
      </c>
      <c r="J30" s="150" t="s">
        <v>17</v>
      </c>
      <c r="K30" s="136" t="s">
        <v>182</v>
      </c>
      <c r="L30" s="144" t="s">
        <v>28</v>
      </c>
      <c r="M30" s="144" t="s">
        <v>17</v>
      </c>
      <c r="N30" s="180" t="s">
        <v>298</v>
      </c>
      <c r="O30" s="143" t="s">
        <v>257</v>
      </c>
      <c r="P30" s="134" t="s">
        <v>370</v>
      </c>
    </row>
    <row r="31" spans="1:16" ht="53.4">
      <c r="A31" s="135">
        <f t="shared" si="0"/>
        <v>43507</v>
      </c>
      <c r="B31" s="136" t="s">
        <v>65</v>
      </c>
      <c r="C31" s="156" t="s">
        <v>77</v>
      </c>
      <c r="D31" s="144">
        <v>2017</v>
      </c>
      <c r="E31" s="150" t="s">
        <v>27</v>
      </c>
      <c r="F31" s="171" t="s">
        <v>196</v>
      </c>
      <c r="G31" s="139" t="s">
        <v>268</v>
      </c>
      <c r="H31" s="140" t="s">
        <v>328</v>
      </c>
      <c r="I31" s="152" t="s">
        <v>487</v>
      </c>
      <c r="J31" s="150" t="s">
        <v>17</v>
      </c>
      <c r="K31" s="136" t="s">
        <v>201</v>
      </c>
      <c r="L31" s="136" t="s">
        <v>342</v>
      </c>
      <c r="M31" s="136" t="s">
        <v>274</v>
      </c>
      <c r="N31" s="144"/>
      <c r="O31" s="143" t="s">
        <v>18</v>
      </c>
      <c r="P31" s="134" t="s">
        <v>370</v>
      </c>
    </row>
    <row r="32" spans="1:16" ht="53.4">
      <c r="A32" s="135">
        <f t="shared" si="0"/>
        <v>43507</v>
      </c>
      <c r="B32" s="136" t="s">
        <v>65</v>
      </c>
      <c r="C32" s="156" t="s">
        <v>78</v>
      </c>
      <c r="D32" s="144">
        <v>2014</v>
      </c>
      <c r="E32" s="150" t="s">
        <v>27</v>
      </c>
      <c r="F32" s="171" t="s">
        <v>241</v>
      </c>
      <c r="G32" s="139" t="s">
        <v>266</v>
      </c>
      <c r="H32" s="140" t="s">
        <v>329</v>
      </c>
      <c r="I32" s="152" t="s">
        <v>488</v>
      </c>
      <c r="J32" s="150" t="s">
        <v>17</v>
      </c>
      <c r="K32" s="147" t="s">
        <v>473</v>
      </c>
      <c r="L32" s="136" t="s">
        <v>242</v>
      </c>
      <c r="M32" s="136" t="s">
        <v>376</v>
      </c>
      <c r="N32" s="144"/>
      <c r="O32" s="143" t="s">
        <v>18</v>
      </c>
      <c r="P32" s="134" t="s">
        <v>370</v>
      </c>
    </row>
    <row r="33" spans="1:16" ht="93">
      <c r="A33" s="135">
        <f t="shared" si="0"/>
        <v>43507</v>
      </c>
      <c r="B33" s="136" t="s">
        <v>80</v>
      </c>
      <c r="C33" s="156" t="s">
        <v>81</v>
      </c>
      <c r="D33" s="144">
        <v>2016</v>
      </c>
      <c r="E33" s="181" t="s">
        <v>107</v>
      </c>
      <c r="F33" s="171" t="s">
        <v>244</v>
      </c>
      <c r="G33" s="139" t="s">
        <v>268</v>
      </c>
      <c r="H33" s="140" t="s">
        <v>245</v>
      </c>
      <c r="I33" s="152" t="s">
        <v>275</v>
      </c>
      <c r="J33" s="150" t="s">
        <v>275</v>
      </c>
      <c r="K33" s="136" t="s">
        <v>243</v>
      </c>
      <c r="L33" s="136" t="s">
        <v>306</v>
      </c>
      <c r="M33" s="136" t="s">
        <v>246</v>
      </c>
      <c r="N33" s="180" t="s">
        <v>307</v>
      </c>
      <c r="O33" s="143" t="s">
        <v>257</v>
      </c>
      <c r="P33" s="134" t="s">
        <v>369</v>
      </c>
    </row>
    <row r="34" spans="1:16" ht="66.6">
      <c r="A34" s="135">
        <f t="shared" si="0"/>
        <v>43507</v>
      </c>
      <c r="B34" s="136" t="s">
        <v>61</v>
      </c>
      <c r="C34" s="156" t="s">
        <v>84</v>
      </c>
      <c r="D34" s="144">
        <v>2015</v>
      </c>
      <c r="E34" s="150" t="s">
        <v>27</v>
      </c>
      <c r="F34" s="182" t="s">
        <v>233</v>
      </c>
      <c r="G34" s="139" t="s">
        <v>262</v>
      </c>
      <c r="H34" s="140" t="s">
        <v>330</v>
      </c>
      <c r="I34" s="152" t="s">
        <v>489</v>
      </c>
      <c r="J34" s="150" t="s">
        <v>29</v>
      </c>
      <c r="K34" s="136" t="s">
        <v>182</v>
      </c>
      <c r="L34" s="144" t="s">
        <v>28</v>
      </c>
      <c r="M34" s="136" t="s">
        <v>17</v>
      </c>
      <c r="N34" s="164" t="s">
        <v>297</v>
      </c>
      <c r="O34" s="143" t="s">
        <v>297</v>
      </c>
      <c r="P34" s="134" t="s">
        <v>370</v>
      </c>
    </row>
    <row r="35" spans="1:16" ht="66.6">
      <c r="A35" s="135">
        <f t="shared" si="0"/>
        <v>43507</v>
      </c>
      <c r="B35" s="136" t="s">
        <v>61</v>
      </c>
      <c r="C35" s="156" t="s">
        <v>85</v>
      </c>
      <c r="D35" s="144">
        <v>2015</v>
      </c>
      <c r="E35" s="150" t="s">
        <v>27</v>
      </c>
      <c r="F35" s="182" t="s">
        <v>250</v>
      </c>
      <c r="G35" s="139" t="s">
        <v>262</v>
      </c>
      <c r="H35" s="140" t="s">
        <v>308</v>
      </c>
      <c r="I35" s="152" t="s">
        <v>490</v>
      </c>
      <c r="J35" s="150" t="s">
        <v>29</v>
      </c>
      <c r="K35" s="136" t="s">
        <v>182</v>
      </c>
      <c r="L35" s="144" t="s">
        <v>28</v>
      </c>
      <c r="M35" s="144" t="s">
        <v>17</v>
      </c>
      <c r="N35" s="183" t="s">
        <v>309</v>
      </c>
      <c r="O35" s="143" t="s">
        <v>18</v>
      </c>
      <c r="P35" s="134" t="s">
        <v>370</v>
      </c>
    </row>
    <row r="36" spans="1:16" ht="31.2">
      <c r="A36" s="135">
        <f t="shared" si="0"/>
        <v>43507</v>
      </c>
      <c r="B36" s="136" t="s">
        <v>86</v>
      </c>
      <c r="C36" s="156" t="s">
        <v>87</v>
      </c>
      <c r="D36" s="144">
        <v>2013</v>
      </c>
      <c r="E36" s="150" t="s">
        <v>88</v>
      </c>
      <c r="F36" s="182" t="s">
        <v>228</v>
      </c>
      <c r="G36" s="139" t="s">
        <v>265</v>
      </c>
      <c r="H36" s="140" t="s">
        <v>331</v>
      </c>
      <c r="I36" s="152" t="s">
        <v>206</v>
      </c>
      <c r="J36" s="150" t="s">
        <v>206</v>
      </c>
      <c r="K36" s="136" t="s">
        <v>182</v>
      </c>
      <c r="L36" s="144" t="s">
        <v>28</v>
      </c>
      <c r="M36" s="144" t="s">
        <v>17</v>
      </c>
      <c r="N36" s="183" t="s">
        <v>18</v>
      </c>
      <c r="O36" s="143" t="s">
        <v>18</v>
      </c>
      <c r="P36" s="134" t="s">
        <v>370</v>
      </c>
    </row>
    <row r="37" spans="1:16" ht="31.2">
      <c r="A37" s="135">
        <f t="shared" si="0"/>
        <v>43507</v>
      </c>
      <c r="B37" s="136" t="s">
        <v>86</v>
      </c>
      <c r="C37" s="156" t="s">
        <v>90</v>
      </c>
      <c r="D37" s="144">
        <v>2013</v>
      </c>
      <c r="E37" s="150" t="s">
        <v>88</v>
      </c>
      <c r="F37" s="182" t="s">
        <v>228</v>
      </c>
      <c r="G37" s="139" t="s">
        <v>265</v>
      </c>
      <c r="H37" s="140" t="s">
        <v>331</v>
      </c>
      <c r="I37" s="152" t="s">
        <v>206</v>
      </c>
      <c r="J37" s="150" t="s">
        <v>206</v>
      </c>
      <c r="K37" s="136" t="s">
        <v>182</v>
      </c>
      <c r="L37" s="144" t="s">
        <v>28</v>
      </c>
      <c r="M37" s="144" t="s">
        <v>17</v>
      </c>
      <c r="N37" s="183" t="s">
        <v>297</v>
      </c>
      <c r="O37" s="143" t="s">
        <v>297</v>
      </c>
      <c r="P37" s="134" t="s">
        <v>370</v>
      </c>
    </row>
    <row r="38" spans="1:16" ht="31.2">
      <c r="A38" s="135">
        <f t="shared" si="0"/>
        <v>43507</v>
      </c>
      <c r="B38" s="136" t="s">
        <v>86</v>
      </c>
      <c r="C38" s="137" t="s">
        <v>91</v>
      </c>
      <c r="D38" s="144">
        <v>2013</v>
      </c>
      <c r="E38" s="150" t="s">
        <v>88</v>
      </c>
      <c r="F38" s="182" t="s">
        <v>228</v>
      </c>
      <c r="G38" s="139" t="s">
        <v>265</v>
      </c>
      <c r="H38" s="140" t="s">
        <v>332</v>
      </c>
      <c r="I38" s="152" t="s">
        <v>206</v>
      </c>
      <c r="J38" s="150" t="s">
        <v>206</v>
      </c>
      <c r="K38" s="136" t="s">
        <v>182</v>
      </c>
      <c r="L38" s="144" t="s">
        <v>28</v>
      </c>
      <c r="M38" s="144" t="s">
        <v>17</v>
      </c>
      <c r="N38" s="183" t="s">
        <v>297</v>
      </c>
      <c r="O38" s="143" t="s">
        <v>297</v>
      </c>
      <c r="P38" s="134" t="s">
        <v>370</v>
      </c>
    </row>
    <row r="39" spans="1:16" ht="31.2">
      <c r="A39" s="135">
        <f t="shared" si="0"/>
        <v>43507</v>
      </c>
      <c r="B39" s="136" t="s">
        <v>92</v>
      </c>
      <c r="C39" s="156" t="s">
        <v>93</v>
      </c>
      <c r="D39" s="144">
        <v>2014</v>
      </c>
      <c r="E39" s="150" t="s">
        <v>88</v>
      </c>
      <c r="F39" s="182" t="s">
        <v>253</v>
      </c>
      <c r="G39" s="139" t="s">
        <v>265</v>
      </c>
      <c r="H39" s="140" t="s">
        <v>333</v>
      </c>
      <c r="I39" s="152" t="s">
        <v>206</v>
      </c>
      <c r="J39" s="150" t="s">
        <v>206</v>
      </c>
      <c r="K39" s="136" t="s">
        <v>182</v>
      </c>
      <c r="L39" s="144" t="s">
        <v>28</v>
      </c>
      <c r="M39" s="144" t="s">
        <v>17</v>
      </c>
      <c r="N39" s="183" t="s">
        <v>297</v>
      </c>
      <c r="O39" s="143" t="s">
        <v>297</v>
      </c>
      <c r="P39" s="134" t="s">
        <v>370</v>
      </c>
    </row>
    <row r="40" spans="1:16" ht="93">
      <c r="A40" s="135">
        <f t="shared" si="0"/>
        <v>43507</v>
      </c>
      <c r="B40" s="136" t="s">
        <v>94</v>
      </c>
      <c r="C40" s="156" t="s">
        <v>95</v>
      </c>
      <c r="D40" s="144">
        <v>2014</v>
      </c>
      <c r="E40" s="150" t="s">
        <v>107</v>
      </c>
      <c r="F40" s="171" t="s">
        <v>212</v>
      </c>
      <c r="G40" s="139" t="s">
        <v>268</v>
      </c>
      <c r="H40" s="140" t="s">
        <v>245</v>
      </c>
      <c r="I40" s="152" t="s">
        <v>491</v>
      </c>
      <c r="J40" s="150" t="s">
        <v>17</v>
      </c>
      <c r="K40" s="147" t="s">
        <v>474</v>
      </c>
      <c r="L40" s="136" t="s">
        <v>310</v>
      </c>
      <c r="M40" s="136" t="s">
        <v>410</v>
      </c>
      <c r="N40" s="183" t="s">
        <v>18</v>
      </c>
      <c r="O40" s="143" t="s">
        <v>18</v>
      </c>
      <c r="P40" s="134" t="s">
        <v>369</v>
      </c>
    </row>
    <row r="41" spans="1:16" ht="53.4">
      <c r="A41" s="135">
        <f t="shared" si="0"/>
        <v>43507</v>
      </c>
      <c r="B41" s="136" t="s">
        <v>58</v>
      </c>
      <c r="C41" s="156" t="s">
        <v>98</v>
      </c>
      <c r="D41" s="144">
        <v>2017</v>
      </c>
      <c r="E41" s="150" t="s">
        <v>27</v>
      </c>
      <c r="F41" s="171" t="s">
        <v>229</v>
      </c>
      <c r="G41" s="139" t="s">
        <v>262</v>
      </c>
      <c r="H41" s="140" t="s">
        <v>249</v>
      </c>
      <c r="I41" s="152" t="s">
        <v>206</v>
      </c>
      <c r="J41" s="150" t="s">
        <v>206</v>
      </c>
      <c r="K41" s="136" t="s">
        <v>182</v>
      </c>
      <c r="L41" s="136" t="s">
        <v>230</v>
      </c>
      <c r="M41" s="136" t="s">
        <v>248</v>
      </c>
      <c r="N41" s="144"/>
      <c r="O41" s="143" t="s">
        <v>18</v>
      </c>
      <c r="P41" s="134" t="s">
        <v>370</v>
      </c>
    </row>
    <row r="42" spans="1:16" ht="53.4">
      <c r="A42" s="135">
        <f t="shared" si="0"/>
        <v>43507</v>
      </c>
      <c r="B42" s="136" t="s">
        <v>61</v>
      </c>
      <c r="C42" s="156" t="s">
        <v>99</v>
      </c>
      <c r="D42" s="144">
        <v>2015</v>
      </c>
      <c r="E42" s="150" t="s">
        <v>27</v>
      </c>
      <c r="F42" s="171" t="s">
        <v>250</v>
      </c>
      <c r="G42" s="139" t="s">
        <v>262</v>
      </c>
      <c r="H42" s="140" t="s">
        <v>330</v>
      </c>
      <c r="I42" s="152" t="s">
        <v>492</v>
      </c>
      <c r="J42" s="150" t="s">
        <v>29</v>
      </c>
      <c r="K42" s="136" t="s">
        <v>182</v>
      </c>
      <c r="L42" s="144" t="s">
        <v>28</v>
      </c>
      <c r="M42" s="144" t="s">
        <v>17</v>
      </c>
      <c r="N42" s="183" t="s">
        <v>297</v>
      </c>
      <c r="O42" s="143" t="s">
        <v>297</v>
      </c>
      <c r="P42" s="134" t="s">
        <v>370</v>
      </c>
    </row>
    <row r="43" spans="1:16" ht="53.4">
      <c r="A43" s="135">
        <f t="shared" si="0"/>
        <v>43507</v>
      </c>
      <c r="B43" s="179" t="s">
        <v>100</v>
      </c>
      <c r="C43" s="156" t="s">
        <v>101</v>
      </c>
      <c r="D43" s="144">
        <v>2015</v>
      </c>
      <c r="E43" s="150" t="s">
        <v>102</v>
      </c>
      <c r="F43" s="171" t="s">
        <v>251</v>
      </c>
      <c r="G43" s="139" t="s">
        <v>268</v>
      </c>
      <c r="H43" s="140" t="s">
        <v>334</v>
      </c>
      <c r="I43" s="152" t="s">
        <v>96</v>
      </c>
      <c r="J43" s="150" t="s">
        <v>17</v>
      </c>
      <c r="K43" s="136" t="s">
        <v>96</v>
      </c>
      <c r="L43" s="136" t="s">
        <v>240</v>
      </c>
      <c r="M43" s="136" t="s">
        <v>423</v>
      </c>
      <c r="N43" s="136" t="s">
        <v>311</v>
      </c>
      <c r="O43" s="143" t="s">
        <v>257</v>
      </c>
      <c r="P43" s="134" t="s">
        <v>369</v>
      </c>
    </row>
    <row r="44" spans="1:16" ht="66.6">
      <c r="A44" s="135">
        <f t="shared" si="0"/>
        <v>43507</v>
      </c>
      <c r="B44" s="136" t="s">
        <v>61</v>
      </c>
      <c r="C44" s="137" t="s">
        <v>103</v>
      </c>
      <c r="D44" s="144">
        <v>2015</v>
      </c>
      <c r="E44" s="150" t="s">
        <v>27</v>
      </c>
      <c r="F44" s="171" t="s">
        <v>252</v>
      </c>
      <c r="G44" s="139" t="s">
        <v>262</v>
      </c>
      <c r="H44" s="140" t="s">
        <v>330</v>
      </c>
      <c r="I44" s="152" t="s">
        <v>493</v>
      </c>
      <c r="J44" s="150" t="s">
        <v>29</v>
      </c>
      <c r="K44" s="136" t="s">
        <v>182</v>
      </c>
      <c r="L44" s="144" t="s">
        <v>28</v>
      </c>
      <c r="M44" s="136" t="s">
        <v>17</v>
      </c>
      <c r="N44" s="183" t="s">
        <v>297</v>
      </c>
      <c r="O44" s="143" t="s">
        <v>297</v>
      </c>
      <c r="P44" s="134" t="s">
        <v>370</v>
      </c>
    </row>
    <row r="45" spans="1:16" ht="109.2">
      <c r="A45" s="184">
        <v>43507</v>
      </c>
      <c r="B45" s="150" t="s">
        <v>347</v>
      </c>
      <c r="C45" s="156" t="s">
        <v>348</v>
      </c>
      <c r="E45" s="150" t="s">
        <v>27</v>
      </c>
      <c r="F45" s="185" t="s">
        <v>349</v>
      </c>
      <c r="G45" s="139" t="s">
        <v>349</v>
      </c>
      <c r="H45" s="185" t="s">
        <v>350</v>
      </c>
      <c r="I45" s="152" t="s">
        <v>494</v>
      </c>
      <c r="J45" s="140" t="s">
        <v>206</v>
      </c>
      <c r="K45" s="140" t="s">
        <v>182</v>
      </c>
      <c r="L45" s="140" t="s">
        <v>351</v>
      </c>
      <c r="M45" s="157" t="s">
        <v>17</v>
      </c>
      <c r="N45" s="186" t="s">
        <v>352</v>
      </c>
      <c r="O45" s="149" t="s">
        <v>257</v>
      </c>
      <c r="P45" s="134" t="s">
        <v>370</v>
      </c>
    </row>
  </sheetData>
  <sheetProtection sheet="1" objects="1" scenarios="1"/>
  <conditionalFormatting sqref="N2:N16 N18 N21:N23 N25:N44">
    <cfRule type="containsText" priority="24" dxfId="0" operator="containsText" text="YES">
      <formula>NOT(ISERROR(SEARCH("YES",N2)))</formula>
    </cfRule>
  </conditionalFormatting>
  <conditionalFormatting sqref="N45">
    <cfRule type="containsText" priority="6" dxfId="0" operator="containsText" text="YES">
      <formula>NOT(ISERROR(SEARCH("YES",N45)))</formula>
    </cfRule>
  </conditionalFormatting>
  <dataValidations count="6">
    <dataValidation type="list" allowBlank="1" showInputMessage="1" showErrorMessage="1" sqref="P2:P45">
      <formula1>$T$2:$T$4</formula1>
    </dataValidation>
    <dataValidation type="list" allowBlank="1" showInputMessage="1" showErrorMessage="1" sqref="E2:E22 E24:E44">
      <formula1>Settings!$A$2:$A$5</formula1>
    </dataValidation>
    <dataValidation type="list" allowBlank="1" showInputMessage="1" showErrorMessage="1" sqref="L2:L22 L24:L45">
      <formula1>Settings!$H$2:$H$27</formula1>
    </dataValidation>
    <dataValidation type="list" allowBlank="1" showInputMessage="1" showErrorMessage="1" sqref="I2:J45">
      <formula1>Settings!$E$2:$E$15</formula1>
    </dataValidation>
    <dataValidation type="list" allowBlank="1" showInputMessage="1" showErrorMessage="1" sqref="K5:K22 K2:K3 K24:K31 K33:K39 K41:K44">
      <formula1>Settings!$G$2:$G$17</formula1>
    </dataValidation>
    <dataValidation type="list" allowBlank="1" showInputMessage="1" showErrorMessage="1" sqref="M2:M44">
      <formula1>Settings!$I$2:$I$24</formula1>
    </dataValidation>
  </dataValidation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0C6C1-00A8-4585-A5D4-9881E0CB9A79}">
  <dimension ref="A1:K49"/>
  <sheetViews>
    <sheetView tabSelected="1" workbookViewId="0" topLeftCell="B1">
      <selection activeCell="I8" sqref="I8"/>
    </sheetView>
  </sheetViews>
  <sheetFormatPr defaultColWidth="9.00390625" defaultRowHeight="15.75"/>
  <cols>
    <col min="1" max="1" width="51.25390625" style="0" customWidth="1"/>
    <col min="2" max="3" width="17.375" style="0" customWidth="1"/>
    <col min="4" max="4" width="23.125" style="0" customWidth="1"/>
    <col min="5" max="9" width="17.375" style="0" customWidth="1"/>
    <col min="10" max="11" width="18.25390625" style="13" customWidth="1"/>
  </cols>
  <sheetData>
    <row r="1" spans="2:11" ht="15.75">
      <c r="B1" s="203" t="s">
        <v>535</v>
      </c>
      <c r="C1" s="203"/>
      <c r="D1" s="203"/>
      <c r="E1" s="203"/>
      <c r="F1" s="203"/>
      <c r="G1" s="203"/>
      <c r="H1" s="203"/>
      <c r="I1" s="203"/>
      <c r="J1" s="208" t="s">
        <v>562</v>
      </c>
      <c r="K1" s="208"/>
    </row>
    <row r="2" spans="1:11" ht="34.8" customHeight="1">
      <c r="A2" s="202" t="s">
        <v>522</v>
      </c>
      <c r="B2" s="98" t="s">
        <v>523</v>
      </c>
      <c r="C2" s="98" t="s">
        <v>524</v>
      </c>
      <c r="D2" s="98" t="s">
        <v>525</v>
      </c>
      <c r="E2" s="98" t="s">
        <v>29</v>
      </c>
      <c r="F2" s="98" t="s">
        <v>536</v>
      </c>
      <c r="G2" s="98" t="s">
        <v>537</v>
      </c>
      <c r="H2" s="98" t="s">
        <v>528</v>
      </c>
      <c r="I2" s="98" t="s">
        <v>27</v>
      </c>
      <c r="J2" s="98" t="s">
        <v>538</v>
      </c>
      <c r="K2" s="98" t="s">
        <v>539</v>
      </c>
    </row>
    <row r="3" spans="1:11" ht="27">
      <c r="A3" s="6" t="s">
        <v>44</v>
      </c>
      <c r="B3" s="32" t="s">
        <v>380</v>
      </c>
      <c r="C3" s="65" t="s">
        <v>526</v>
      </c>
      <c r="D3" s="32" t="s">
        <v>380</v>
      </c>
      <c r="E3" t="s">
        <v>198</v>
      </c>
      <c r="J3" s="204" t="s">
        <v>540</v>
      </c>
      <c r="K3" s="205" t="s">
        <v>21</v>
      </c>
    </row>
    <row r="4" spans="1:11" ht="185.4">
      <c r="A4" s="6" t="s">
        <v>68</v>
      </c>
      <c r="B4" s="32" t="s">
        <v>380</v>
      </c>
      <c r="C4" s="65" t="s">
        <v>527</v>
      </c>
      <c r="D4" s="32" t="s">
        <v>380</v>
      </c>
      <c r="E4" t="s">
        <v>198</v>
      </c>
      <c r="F4" t="s">
        <v>198</v>
      </c>
      <c r="G4" t="s">
        <v>198</v>
      </c>
      <c r="J4" s="205" t="s">
        <v>541</v>
      </c>
      <c r="K4" s="205" t="s">
        <v>21</v>
      </c>
    </row>
    <row r="5" spans="1:11" ht="53.4">
      <c r="A5" s="6" t="s">
        <v>35</v>
      </c>
      <c r="B5" s="32" t="s">
        <v>380</v>
      </c>
      <c r="C5" s="65" t="s">
        <v>528</v>
      </c>
      <c r="D5" s="32" t="s">
        <v>380</v>
      </c>
      <c r="H5" t="s">
        <v>198</v>
      </c>
      <c r="J5" s="205" t="s">
        <v>540</v>
      </c>
      <c r="K5" s="204" t="s">
        <v>542</v>
      </c>
    </row>
    <row r="6" spans="1:11" ht="27">
      <c r="A6" s="6" t="s">
        <v>37</v>
      </c>
      <c r="B6" s="32" t="s">
        <v>380</v>
      </c>
      <c r="C6" s="32" t="s">
        <v>529</v>
      </c>
      <c r="D6" s="32" t="s">
        <v>303</v>
      </c>
      <c r="J6" s="205" t="s">
        <v>543</v>
      </c>
      <c r="K6" s="205" t="s">
        <v>530</v>
      </c>
    </row>
    <row r="7" spans="1:11" ht="27">
      <c r="A7" s="6" t="s">
        <v>42</v>
      </c>
      <c r="B7" s="32" t="s">
        <v>303</v>
      </c>
      <c r="C7" s="32" t="s">
        <v>529</v>
      </c>
      <c r="D7" s="32" t="s">
        <v>303</v>
      </c>
      <c r="J7" s="206">
        <v>0.95</v>
      </c>
      <c r="K7" s="205" t="s">
        <v>380</v>
      </c>
    </row>
    <row r="8" spans="1:11" ht="27">
      <c r="A8" s="6" t="s">
        <v>20</v>
      </c>
      <c r="B8" s="50"/>
      <c r="C8" s="50"/>
      <c r="D8" s="50"/>
      <c r="J8" s="205" t="s">
        <v>544</v>
      </c>
      <c r="K8" s="205" t="s">
        <v>380</v>
      </c>
    </row>
    <row r="9" spans="1:11" ht="27">
      <c r="A9" s="6" t="s">
        <v>49</v>
      </c>
      <c r="B9" s="32" t="s">
        <v>380</v>
      </c>
      <c r="C9" s="32" t="s">
        <v>529</v>
      </c>
      <c r="D9" s="32" t="s">
        <v>303</v>
      </c>
      <c r="J9" s="205" t="s">
        <v>543</v>
      </c>
      <c r="K9" s="205" t="s">
        <v>380</v>
      </c>
    </row>
    <row r="10" spans="1:11" ht="27">
      <c r="A10" s="6" t="s">
        <v>54</v>
      </c>
      <c r="B10" s="32" t="s">
        <v>380</v>
      </c>
      <c r="C10" s="65" t="s">
        <v>528</v>
      </c>
      <c r="D10" s="32" t="s">
        <v>380</v>
      </c>
      <c r="H10" t="s">
        <v>198</v>
      </c>
      <c r="J10" s="205" t="s">
        <v>545</v>
      </c>
      <c r="K10" s="205" t="s">
        <v>380</v>
      </c>
    </row>
    <row r="11" spans="1:11" ht="15.75">
      <c r="A11" s="6" t="s">
        <v>59</v>
      </c>
      <c r="B11" s="32" t="s">
        <v>380</v>
      </c>
      <c r="C11" s="32" t="s">
        <v>529</v>
      </c>
      <c r="D11" s="32" t="s">
        <v>303</v>
      </c>
      <c r="J11" s="205" t="s">
        <v>529</v>
      </c>
      <c r="K11" s="205" t="s">
        <v>529</v>
      </c>
    </row>
    <row r="12" spans="1:11" ht="40.2">
      <c r="A12" s="6" t="s">
        <v>69</v>
      </c>
      <c r="B12" s="32" t="s">
        <v>380</v>
      </c>
      <c r="C12" s="32" t="s">
        <v>528</v>
      </c>
      <c r="D12" s="32" t="s">
        <v>530</v>
      </c>
      <c r="H12" t="s">
        <v>198</v>
      </c>
      <c r="J12" s="205" t="s">
        <v>546</v>
      </c>
      <c r="K12" s="205" t="s">
        <v>529</v>
      </c>
    </row>
    <row r="13" spans="1:11" ht="27">
      <c r="A13" s="6" t="s">
        <v>73</v>
      </c>
      <c r="B13" s="32" t="s">
        <v>380</v>
      </c>
      <c r="C13" s="32" t="s">
        <v>529</v>
      </c>
      <c r="D13" s="32" t="s">
        <v>303</v>
      </c>
      <c r="J13" s="206">
        <v>0.99</v>
      </c>
      <c r="K13" s="205" t="s">
        <v>529</v>
      </c>
    </row>
    <row r="14" spans="1:11" ht="15.75">
      <c r="A14" s="6" t="s">
        <v>101</v>
      </c>
      <c r="B14" s="32" t="s">
        <v>303</v>
      </c>
      <c r="C14" s="32" t="s">
        <v>529</v>
      </c>
      <c r="D14" s="32" t="s">
        <v>303</v>
      </c>
      <c r="J14" s="205" t="s">
        <v>547</v>
      </c>
      <c r="K14" s="205" t="s">
        <v>529</v>
      </c>
    </row>
    <row r="15" spans="1:11" ht="15.75">
      <c r="A15" s="6" t="s">
        <v>23</v>
      </c>
      <c r="B15" s="32" t="s">
        <v>380</v>
      </c>
      <c r="C15" s="32" t="s">
        <v>529</v>
      </c>
      <c r="D15" s="32" t="s">
        <v>303</v>
      </c>
      <c r="J15" s="205" t="s">
        <v>547</v>
      </c>
      <c r="K15" s="205" t="s">
        <v>380</v>
      </c>
    </row>
    <row r="16" spans="1:11" ht="66.6">
      <c r="A16" s="6" t="s">
        <v>32</v>
      </c>
      <c r="B16" s="32" t="s">
        <v>380</v>
      </c>
      <c r="C16" s="65" t="s">
        <v>531</v>
      </c>
      <c r="D16" s="32" t="s">
        <v>380</v>
      </c>
      <c r="E16" t="s">
        <v>198</v>
      </c>
      <c r="G16" t="s">
        <v>198</v>
      </c>
      <c r="J16" s="205" t="s">
        <v>543</v>
      </c>
      <c r="K16" s="205" t="s">
        <v>380</v>
      </c>
    </row>
    <row r="17" spans="1:11" ht="40.2">
      <c r="A17" s="6" t="s">
        <v>39</v>
      </c>
      <c r="B17" s="32" t="s">
        <v>380</v>
      </c>
      <c r="C17" s="32" t="s">
        <v>529</v>
      </c>
      <c r="D17" s="32" t="s">
        <v>303</v>
      </c>
      <c r="J17" s="206">
        <v>1</v>
      </c>
      <c r="K17" s="205" t="s">
        <v>529</v>
      </c>
    </row>
    <row r="18" spans="1:11" ht="27">
      <c r="A18" s="6" t="s">
        <v>63</v>
      </c>
      <c r="B18" s="50"/>
      <c r="C18" s="50"/>
      <c r="D18" s="50"/>
      <c r="J18" s="204" t="s">
        <v>548</v>
      </c>
      <c r="K18" s="205" t="s">
        <v>529</v>
      </c>
    </row>
    <row r="19" spans="1:11" ht="40.2">
      <c r="A19" s="6" t="s">
        <v>72</v>
      </c>
      <c r="B19" s="50"/>
      <c r="C19" s="50"/>
      <c r="D19" s="50"/>
      <c r="J19" s="204" t="s">
        <v>549</v>
      </c>
      <c r="K19" s="205" t="s">
        <v>529</v>
      </c>
    </row>
    <row r="20" spans="1:11" ht="27">
      <c r="A20" s="6" t="s">
        <v>81</v>
      </c>
      <c r="B20" s="50"/>
      <c r="C20" s="50"/>
      <c r="D20" s="50"/>
      <c r="J20" s="204" t="s">
        <v>550</v>
      </c>
      <c r="K20" s="205" t="s">
        <v>529</v>
      </c>
    </row>
    <row r="21" spans="1:11" ht="27">
      <c r="A21" s="6" t="s">
        <v>46</v>
      </c>
      <c r="B21" s="50"/>
      <c r="C21" s="50"/>
      <c r="D21" s="50"/>
      <c r="J21" s="204" t="s">
        <v>551</v>
      </c>
      <c r="K21" s="205" t="s">
        <v>380</v>
      </c>
    </row>
    <row r="22" spans="1:11" ht="27">
      <c r="A22" s="6" t="s">
        <v>56</v>
      </c>
      <c r="B22" s="32" t="s">
        <v>380</v>
      </c>
      <c r="C22" s="65" t="s">
        <v>357</v>
      </c>
      <c r="D22" s="65" t="s">
        <v>532</v>
      </c>
      <c r="H22" t="s">
        <v>198</v>
      </c>
      <c r="J22" s="204" t="s">
        <v>543</v>
      </c>
      <c r="K22" s="205" t="s">
        <v>380</v>
      </c>
    </row>
    <row r="23" spans="1:11" ht="53.4">
      <c r="A23" s="6" t="s">
        <v>62</v>
      </c>
      <c r="B23" s="32" t="s">
        <v>380</v>
      </c>
      <c r="C23" s="65" t="s">
        <v>533</v>
      </c>
      <c r="D23" s="32" t="s">
        <v>380</v>
      </c>
      <c r="E23" t="s">
        <v>198</v>
      </c>
      <c r="G23" t="s">
        <v>198</v>
      </c>
      <c r="H23" t="s">
        <v>198</v>
      </c>
      <c r="J23" s="204" t="s">
        <v>543</v>
      </c>
      <c r="K23" s="205" t="s">
        <v>380</v>
      </c>
    </row>
    <row r="24" spans="1:11" ht="53.4">
      <c r="A24" s="6" t="s">
        <v>77</v>
      </c>
      <c r="B24" s="50"/>
      <c r="C24" s="50"/>
      <c r="D24" s="50"/>
      <c r="J24" s="204" t="s">
        <v>552</v>
      </c>
      <c r="K24" s="204" t="s">
        <v>553</v>
      </c>
    </row>
    <row r="25" spans="1:11" ht="27">
      <c r="A25" s="6" t="s">
        <v>78</v>
      </c>
      <c r="B25" s="32" t="s">
        <v>303</v>
      </c>
      <c r="C25" s="32" t="s">
        <v>529</v>
      </c>
      <c r="D25" s="32" t="s">
        <v>303</v>
      </c>
      <c r="J25" s="204" t="str">
        <f>J18</f>
        <v>No optimal sen spec being reported</v>
      </c>
      <c r="K25" s="204" t="str">
        <f>K18</f>
        <v>NA</v>
      </c>
    </row>
    <row r="26" spans="1:11" ht="53.4">
      <c r="A26" s="6" t="s">
        <v>95</v>
      </c>
      <c r="B26" s="50"/>
      <c r="C26" s="50"/>
      <c r="D26" s="50"/>
      <c r="J26" s="204" t="s">
        <v>554</v>
      </c>
      <c r="K26" s="205" t="s">
        <v>529</v>
      </c>
    </row>
    <row r="27" spans="1:11" ht="53.4">
      <c r="A27" s="6" t="s">
        <v>12</v>
      </c>
      <c r="B27" s="50"/>
      <c r="C27" s="50"/>
      <c r="D27" s="50"/>
      <c r="J27" s="204" t="s">
        <v>552</v>
      </c>
      <c r="K27" s="204" t="str">
        <f>K24</f>
        <v>No validated reference method to determine the clinical diagnostic sensitivity</v>
      </c>
    </row>
    <row r="28" spans="1:11" ht="27">
      <c r="A28" s="6" t="s">
        <v>26</v>
      </c>
      <c r="B28" s="32" t="s">
        <v>380</v>
      </c>
      <c r="C28" s="32" t="s">
        <v>529</v>
      </c>
      <c r="D28" s="32" t="s">
        <v>303</v>
      </c>
      <c r="J28" s="206">
        <v>0.98</v>
      </c>
      <c r="K28" s="204" t="s">
        <v>380</v>
      </c>
    </row>
    <row r="29" spans="1:11" ht="40.2">
      <c r="A29" s="6" t="s">
        <v>51</v>
      </c>
      <c r="B29" s="50"/>
      <c r="C29" s="50"/>
      <c r="D29" s="50"/>
      <c r="J29" s="207">
        <v>0.995</v>
      </c>
      <c r="K29" s="204" t="s">
        <v>380</v>
      </c>
    </row>
    <row r="30" spans="1:11" ht="27">
      <c r="A30" s="6" t="s">
        <v>60</v>
      </c>
      <c r="B30" s="32" t="s">
        <v>380</v>
      </c>
      <c r="C30" s="32" t="s">
        <v>529</v>
      </c>
      <c r="D30" s="32" t="s">
        <v>303</v>
      </c>
      <c r="J30" s="206">
        <v>0.8</v>
      </c>
      <c r="K30" s="204" t="s">
        <v>380</v>
      </c>
    </row>
    <row r="31" spans="1:11" ht="53.4">
      <c r="A31" s="6" t="s">
        <v>64</v>
      </c>
      <c r="B31" s="32" t="s">
        <v>380</v>
      </c>
      <c r="C31" s="65" t="s">
        <v>534</v>
      </c>
      <c r="D31" s="32" t="s">
        <v>380</v>
      </c>
      <c r="G31" t="s">
        <v>198</v>
      </c>
      <c r="J31" s="204" t="s">
        <v>555</v>
      </c>
      <c r="K31" s="204" t="s">
        <v>380</v>
      </c>
    </row>
    <row r="32" spans="1:11" ht="53.4">
      <c r="A32" s="6" t="s">
        <v>84</v>
      </c>
      <c r="B32" s="32" t="s">
        <v>380</v>
      </c>
      <c r="C32" s="65" t="s">
        <v>534</v>
      </c>
      <c r="D32" s="32" t="s">
        <v>380</v>
      </c>
      <c r="G32" t="s">
        <v>198</v>
      </c>
      <c r="J32" s="204" t="s">
        <v>555</v>
      </c>
      <c r="K32" s="204" t="s">
        <v>380</v>
      </c>
    </row>
    <row r="33" spans="1:11" ht="27">
      <c r="A33" s="6" t="s">
        <v>85</v>
      </c>
      <c r="B33" s="32" t="s">
        <v>380</v>
      </c>
      <c r="C33" s="32" t="s">
        <v>27</v>
      </c>
      <c r="D33" s="32" t="s">
        <v>380</v>
      </c>
      <c r="I33" t="s">
        <v>198</v>
      </c>
      <c r="J33" s="204" t="s">
        <v>555</v>
      </c>
      <c r="K33" s="204" t="s">
        <v>380</v>
      </c>
    </row>
    <row r="34" spans="1:11" ht="27">
      <c r="A34" s="6" t="s">
        <v>98</v>
      </c>
      <c r="B34" s="32" t="s">
        <v>380</v>
      </c>
      <c r="C34" s="32" t="s">
        <v>529</v>
      </c>
      <c r="D34" s="32" t="s">
        <v>303</v>
      </c>
      <c r="J34" s="204" t="s">
        <v>556</v>
      </c>
      <c r="K34" s="204" t="s">
        <v>303</v>
      </c>
    </row>
    <row r="35" spans="1:11" ht="27">
      <c r="A35" s="6" t="s">
        <v>99</v>
      </c>
      <c r="B35" s="32" t="s">
        <v>380</v>
      </c>
      <c r="C35" s="32" t="s">
        <v>27</v>
      </c>
      <c r="D35" s="32" t="s">
        <v>380</v>
      </c>
      <c r="I35" t="s">
        <v>198</v>
      </c>
      <c r="J35" s="204" t="s">
        <v>557</v>
      </c>
      <c r="K35" s="204" t="s">
        <v>380</v>
      </c>
    </row>
    <row r="36" spans="1:11" ht="53.4">
      <c r="A36" s="6" t="s">
        <v>103</v>
      </c>
      <c r="B36" s="32" t="s">
        <v>380</v>
      </c>
      <c r="C36" s="65" t="s">
        <v>534</v>
      </c>
      <c r="D36" s="32" t="s">
        <v>380</v>
      </c>
      <c r="G36" t="s">
        <v>198</v>
      </c>
      <c r="J36" s="204" t="s">
        <v>557</v>
      </c>
      <c r="K36" s="204" t="s">
        <v>380</v>
      </c>
    </row>
    <row r="37" spans="1:11" ht="66.6">
      <c r="A37" s="6" t="s">
        <v>348</v>
      </c>
      <c r="B37" s="32" t="s">
        <v>380</v>
      </c>
      <c r="C37" s="32" t="s">
        <v>529</v>
      </c>
      <c r="D37" s="32" t="s">
        <v>303</v>
      </c>
      <c r="J37" s="204" t="s">
        <v>558</v>
      </c>
      <c r="K37" s="204" t="s">
        <v>303</v>
      </c>
    </row>
    <row r="38" spans="1:11" ht="27">
      <c r="A38" s="6" t="s">
        <v>71</v>
      </c>
      <c r="B38" s="32" t="s">
        <v>303</v>
      </c>
      <c r="C38" s="32" t="s">
        <v>529</v>
      </c>
      <c r="D38" s="32" t="s">
        <v>303</v>
      </c>
      <c r="J38" s="204" t="s">
        <v>540</v>
      </c>
      <c r="K38" s="204" t="s">
        <v>380</v>
      </c>
    </row>
    <row r="39" spans="1:11" ht="15.75">
      <c r="A39" s="6" t="s">
        <v>76</v>
      </c>
      <c r="B39" s="50"/>
      <c r="C39" s="50"/>
      <c r="D39" s="50"/>
      <c r="J39" s="206">
        <v>0.99</v>
      </c>
      <c r="K39" s="204" t="s">
        <v>380</v>
      </c>
    </row>
    <row r="40" spans="1:11" ht="40.2">
      <c r="A40" s="6" t="s">
        <v>66</v>
      </c>
      <c r="B40" s="32" t="s">
        <v>380</v>
      </c>
      <c r="C40" s="32" t="s">
        <v>529</v>
      </c>
      <c r="D40" s="32" t="s">
        <v>303</v>
      </c>
      <c r="J40" s="204" t="s">
        <v>559</v>
      </c>
      <c r="K40" s="204" t="s">
        <v>560</v>
      </c>
    </row>
    <row r="41" spans="1:11" ht="40.2">
      <c r="A41" s="6" t="s">
        <v>190</v>
      </c>
      <c r="B41" s="32" t="s">
        <v>380</v>
      </c>
      <c r="C41" s="32" t="s">
        <v>529</v>
      </c>
      <c r="D41" s="32" t="s">
        <v>303</v>
      </c>
      <c r="J41" s="204" t="s">
        <v>559</v>
      </c>
      <c r="K41" s="204" t="s">
        <v>560</v>
      </c>
    </row>
    <row r="42" spans="1:11" ht="27">
      <c r="A42" s="6" t="s">
        <v>191</v>
      </c>
      <c r="B42" s="32" t="s">
        <v>380</v>
      </c>
      <c r="C42" s="32" t="s">
        <v>529</v>
      </c>
      <c r="D42" s="32" t="s">
        <v>303</v>
      </c>
      <c r="J42" s="204" t="s">
        <v>546</v>
      </c>
      <c r="K42" s="204" t="s">
        <v>380</v>
      </c>
    </row>
    <row r="43" spans="1:11" ht="27">
      <c r="A43" s="6" t="s">
        <v>87</v>
      </c>
      <c r="B43" s="32" t="s">
        <v>380</v>
      </c>
      <c r="C43" s="32" t="s">
        <v>529</v>
      </c>
      <c r="D43" s="32" t="s">
        <v>303</v>
      </c>
      <c r="J43" s="204" t="s">
        <v>548</v>
      </c>
      <c r="K43" s="204" t="s">
        <v>529</v>
      </c>
    </row>
    <row r="44" spans="1:11" ht="15.75">
      <c r="A44" s="6" t="s">
        <v>90</v>
      </c>
      <c r="B44" s="32" t="s">
        <v>380</v>
      </c>
      <c r="C44" s="32" t="s">
        <v>529</v>
      </c>
      <c r="D44" s="32" t="s">
        <v>303</v>
      </c>
      <c r="J44" s="204" t="s">
        <v>546</v>
      </c>
      <c r="K44" s="204" t="s">
        <v>303</v>
      </c>
    </row>
    <row r="45" spans="1:11" ht="15.75">
      <c r="A45" s="6" t="s">
        <v>192</v>
      </c>
      <c r="B45" s="32" t="s">
        <v>380</v>
      </c>
      <c r="C45" s="32" t="s">
        <v>529</v>
      </c>
      <c r="D45" s="32" t="s">
        <v>303</v>
      </c>
      <c r="J45" s="204" t="s">
        <v>552</v>
      </c>
      <c r="K45" s="204" t="s">
        <v>303</v>
      </c>
    </row>
    <row r="46" spans="1:11" ht="27">
      <c r="A46" s="69" t="s">
        <v>93</v>
      </c>
      <c r="B46" s="32" t="s">
        <v>380</v>
      </c>
      <c r="C46" s="32" t="s">
        <v>529</v>
      </c>
      <c r="D46" s="32" t="s">
        <v>303</v>
      </c>
      <c r="J46" s="204" t="s">
        <v>561</v>
      </c>
      <c r="K46" s="204" t="s">
        <v>303</v>
      </c>
    </row>
    <row r="48" spans="5:9" ht="15.75">
      <c r="E48">
        <f>COUNTIF(E3:E36,"x")</f>
        <v>4</v>
      </c>
      <c r="F48">
        <f aca="true" t="shared" si="0" ref="F48:I48">COUNTIF(F3:F36,"x")</f>
        <v>1</v>
      </c>
      <c r="G48">
        <f t="shared" si="0"/>
        <v>6</v>
      </c>
      <c r="H48">
        <f t="shared" si="0"/>
        <v>5</v>
      </c>
      <c r="I48">
        <f t="shared" si="0"/>
        <v>2</v>
      </c>
    </row>
    <row r="49" spans="5:9" ht="15.75">
      <c r="E49" s="44">
        <f>E48/(30-17)</f>
        <v>0.3076923076923077</v>
      </c>
      <c r="F49" s="44">
        <f aca="true" t="shared" si="1" ref="F49:I49">F48/(30-17)</f>
        <v>0.07692307692307693</v>
      </c>
      <c r="G49" s="44">
        <f t="shared" si="1"/>
        <v>0.46153846153846156</v>
      </c>
      <c r="H49" s="44">
        <f t="shared" si="1"/>
        <v>0.38461538461538464</v>
      </c>
      <c r="I49" s="44">
        <f t="shared" si="1"/>
        <v>0.15384615384615385</v>
      </c>
    </row>
  </sheetData>
  <mergeCells count="2">
    <mergeCell ref="B1:I1"/>
    <mergeCell ref="J1:K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272D3-88E5-4DE9-8446-E5DB53F006E5}">
  <dimension ref="A1:O45"/>
  <sheetViews>
    <sheetView workbookViewId="0" topLeftCell="F1">
      <selection activeCell="M1" sqref="M1"/>
    </sheetView>
  </sheetViews>
  <sheetFormatPr defaultColWidth="9.00390625" defaultRowHeight="15.75"/>
  <cols>
    <col min="1" max="1" width="42.25390625" style="216" customWidth="1"/>
    <col min="2" max="2" width="38.25390625" style="216" customWidth="1"/>
    <col min="3" max="4" width="17.625" style="0" customWidth="1"/>
    <col min="5" max="7" width="13.00390625" style="0" customWidth="1"/>
    <col min="8" max="8" width="13.625" style="0" customWidth="1"/>
    <col min="9" max="9" width="8.25390625" style="0" customWidth="1"/>
    <col min="10" max="10" width="15.00390625" style="0" customWidth="1"/>
    <col min="11" max="11" width="15.625" style="0" customWidth="1"/>
    <col min="12" max="12" width="20.125" style="0" customWidth="1"/>
    <col min="13" max="13" width="22.375" style="0" customWidth="1"/>
    <col min="15" max="15" width="11.25390625" style="0" customWidth="1"/>
    <col min="16" max="16" width="3.00390625" style="0" customWidth="1"/>
  </cols>
  <sheetData>
    <row r="1" spans="1:15" ht="28.8">
      <c r="A1" s="209" t="s">
        <v>2</v>
      </c>
      <c r="B1" s="209" t="s">
        <v>6</v>
      </c>
      <c r="C1" s="210" t="s">
        <v>563</v>
      </c>
      <c r="D1" s="210" t="s">
        <v>564</v>
      </c>
      <c r="E1" s="210" t="s">
        <v>565</v>
      </c>
      <c r="F1" s="210" t="s">
        <v>566</v>
      </c>
      <c r="G1" s="210" t="s">
        <v>567</v>
      </c>
      <c r="H1" s="210" t="s">
        <v>568</v>
      </c>
      <c r="I1" s="210" t="s">
        <v>83</v>
      </c>
      <c r="J1" s="210" t="s">
        <v>569</v>
      </c>
      <c r="K1" s="210" t="s">
        <v>570</v>
      </c>
      <c r="L1" s="211" t="s">
        <v>571</v>
      </c>
      <c r="M1" s="212" t="s">
        <v>586</v>
      </c>
      <c r="N1" s="212" t="s">
        <v>193</v>
      </c>
      <c r="O1" s="212" t="s">
        <v>194</v>
      </c>
    </row>
    <row r="2" spans="1:15" ht="31.2">
      <c r="A2" s="213" t="s">
        <v>12</v>
      </c>
      <c r="B2" s="215" t="s">
        <v>315</v>
      </c>
      <c r="C2" s="214" t="s">
        <v>198</v>
      </c>
      <c r="D2" s="8"/>
      <c r="I2" t="s">
        <v>198</v>
      </c>
      <c r="K2" t="s">
        <v>198</v>
      </c>
      <c r="L2" t="str">
        <f>IF(J2="",IF(K2="","x",""),"")</f>
        <v/>
      </c>
      <c r="M2" s="218" t="s">
        <v>572</v>
      </c>
      <c r="N2">
        <f>COUNTIF(C2:C45,"x")</f>
        <v>39</v>
      </c>
      <c r="O2" s="44">
        <f>N2/44</f>
        <v>0.8863636363636364</v>
      </c>
    </row>
    <row r="3" spans="1:15" ht="27">
      <c r="A3" s="213" t="s">
        <v>20</v>
      </c>
      <c r="B3" s="215" t="s">
        <v>335</v>
      </c>
      <c r="C3" t="s">
        <v>198</v>
      </c>
      <c r="K3" t="s">
        <v>198</v>
      </c>
      <c r="L3" t="str">
        <f aca="true" t="shared" si="0" ref="L3:L45">IF(J3="",IF(K3="","x",""),"")</f>
        <v/>
      </c>
      <c r="M3" s="218" t="s">
        <v>573</v>
      </c>
      <c r="N3">
        <f>COUNTIF(E2:E45,"x")</f>
        <v>6</v>
      </c>
      <c r="O3" s="44">
        <f aca="true" t="shared" si="1" ref="O3:O4">N3/44</f>
        <v>0.13636363636363635</v>
      </c>
    </row>
    <row r="4" spans="1:15" ht="100.2" customHeight="1">
      <c r="A4" s="213" t="s">
        <v>23</v>
      </c>
      <c r="B4" s="215" t="s">
        <v>336</v>
      </c>
      <c r="C4" t="s">
        <v>198</v>
      </c>
      <c r="E4" t="s">
        <v>198</v>
      </c>
      <c r="K4" t="s">
        <v>198</v>
      </c>
      <c r="L4" s="10" t="s">
        <v>574</v>
      </c>
      <c r="M4" s="218" t="s">
        <v>564</v>
      </c>
      <c r="N4">
        <f>COUNTIF(D2:D45,"x")</f>
        <v>7</v>
      </c>
      <c r="O4" s="44">
        <f t="shared" si="1"/>
        <v>0.1590909090909091</v>
      </c>
    </row>
    <row r="5" spans="1:15" ht="40.2">
      <c r="A5" s="213" t="s">
        <v>26</v>
      </c>
      <c r="B5" s="215" t="s">
        <v>317</v>
      </c>
      <c r="C5" t="s">
        <v>198</v>
      </c>
      <c r="K5" t="s">
        <v>198</v>
      </c>
      <c r="L5" t="str">
        <f t="shared" si="0"/>
        <v/>
      </c>
      <c r="M5" s="218" t="s">
        <v>585</v>
      </c>
      <c r="N5">
        <f>COUNTIF(G2:G45,"x")</f>
        <v>0</v>
      </c>
      <c r="O5" s="44">
        <f>N5/44</f>
        <v>0</v>
      </c>
    </row>
    <row r="6" spans="1:15" ht="40.2">
      <c r="A6" s="213" t="s">
        <v>32</v>
      </c>
      <c r="B6" s="215" t="s">
        <v>340</v>
      </c>
      <c r="C6" t="s">
        <v>198</v>
      </c>
      <c r="E6" t="s">
        <v>198</v>
      </c>
      <c r="K6" t="s">
        <v>198</v>
      </c>
      <c r="L6" t="str">
        <f t="shared" si="0"/>
        <v/>
      </c>
      <c r="M6" s="218" t="s">
        <v>83</v>
      </c>
      <c r="N6">
        <f>COUNTIF(I2:I45,"x")</f>
        <v>4</v>
      </c>
      <c r="O6" s="44">
        <f>N6/44</f>
        <v>0.09090909090909091</v>
      </c>
    </row>
    <row r="7" spans="1:15" ht="53.4">
      <c r="A7" s="213" t="s">
        <v>35</v>
      </c>
      <c r="B7" s="215" t="s">
        <v>213</v>
      </c>
      <c r="C7" t="s">
        <v>198</v>
      </c>
      <c r="K7" t="s">
        <v>198</v>
      </c>
      <c r="L7" t="str">
        <f t="shared" si="0"/>
        <v/>
      </c>
      <c r="M7" s="111" t="str">
        <f>J1</f>
        <v>Specific definition of test technology</v>
      </c>
      <c r="N7">
        <f>COUNTIF(J2:J45,"x")</f>
        <v>8</v>
      </c>
      <c r="O7" s="44">
        <f>N7/44</f>
        <v>0.18181818181818182</v>
      </c>
    </row>
    <row r="8" spans="1:15" ht="40.2">
      <c r="A8" s="213" t="s">
        <v>37</v>
      </c>
      <c r="B8" s="215" t="s">
        <v>316</v>
      </c>
      <c r="C8" t="s">
        <v>198</v>
      </c>
      <c r="J8" t="s">
        <v>198</v>
      </c>
      <c r="L8" t="str">
        <f t="shared" si="0"/>
        <v/>
      </c>
      <c r="M8" s="111" t="str">
        <f>K1</f>
        <v>Generic technology</v>
      </c>
      <c r="N8">
        <f>COUNTIF(K2:K45,"x")</f>
        <v>36</v>
      </c>
      <c r="O8" s="44">
        <f>N8/44</f>
        <v>0.8181818181818182</v>
      </c>
    </row>
    <row r="9" spans="1:12" ht="53.4">
      <c r="A9" s="213" t="s">
        <v>39</v>
      </c>
      <c r="B9" s="216" t="s">
        <v>318</v>
      </c>
      <c r="C9" t="s">
        <v>198</v>
      </c>
      <c r="K9" t="s">
        <v>198</v>
      </c>
      <c r="L9" t="str">
        <f t="shared" si="0"/>
        <v/>
      </c>
    </row>
    <row r="10" spans="1:13" ht="171.6">
      <c r="A10" s="213" t="s">
        <v>42</v>
      </c>
      <c r="B10" s="215" t="s">
        <v>319</v>
      </c>
      <c r="C10" t="s">
        <v>198</v>
      </c>
      <c r="D10" t="s">
        <v>198</v>
      </c>
      <c r="K10" t="s">
        <v>198</v>
      </c>
      <c r="L10" t="str">
        <f t="shared" si="0"/>
        <v/>
      </c>
      <c r="M10" s="10" t="s">
        <v>575</v>
      </c>
    </row>
    <row r="11" spans="1:12" ht="31.2">
      <c r="A11" s="213" t="s">
        <v>44</v>
      </c>
      <c r="B11" s="215" t="s">
        <v>576</v>
      </c>
      <c r="C11" t="s">
        <v>198</v>
      </c>
      <c r="K11" t="s">
        <v>198</v>
      </c>
      <c r="L11" t="str">
        <f t="shared" si="0"/>
        <v/>
      </c>
    </row>
    <row r="12" spans="1:12" ht="40.2">
      <c r="A12" s="213" t="s">
        <v>46</v>
      </c>
      <c r="B12" s="215" t="s">
        <v>321</v>
      </c>
      <c r="C12" t="s">
        <v>198</v>
      </c>
      <c r="D12" t="s">
        <v>198</v>
      </c>
      <c r="H12" t="s">
        <v>198</v>
      </c>
      <c r="K12" t="s">
        <v>198</v>
      </c>
      <c r="L12" t="str">
        <f t="shared" si="0"/>
        <v/>
      </c>
    </row>
    <row r="13" spans="1:12" ht="40.2">
      <c r="A13" s="213" t="s">
        <v>49</v>
      </c>
      <c r="B13" s="215" t="s">
        <v>577</v>
      </c>
      <c r="C13" t="s">
        <v>198</v>
      </c>
      <c r="K13" t="s">
        <v>198</v>
      </c>
      <c r="L13" t="str">
        <f t="shared" si="0"/>
        <v/>
      </c>
    </row>
    <row r="14" spans="1:12" ht="46.8">
      <c r="A14" s="213" t="s">
        <v>51</v>
      </c>
      <c r="B14" s="215" t="s">
        <v>337</v>
      </c>
      <c r="C14" t="s">
        <v>198</v>
      </c>
      <c r="D14" t="s">
        <v>198</v>
      </c>
      <c r="K14" t="s">
        <v>198</v>
      </c>
      <c r="L14" t="str">
        <f t="shared" si="0"/>
        <v/>
      </c>
    </row>
    <row r="15" spans="1:12" ht="40.2">
      <c r="A15" s="213" t="s">
        <v>54</v>
      </c>
      <c r="B15" s="215" t="s">
        <v>341</v>
      </c>
      <c r="C15" t="s">
        <v>198</v>
      </c>
      <c r="K15" t="s">
        <v>198</v>
      </c>
      <c r="L15" t="str">
        <f t="shared" si="0"/>
        <v/>
      </c>
    </row>
    <row r="16" spans="1:12" ht="46.8">
      <c r="A16" s="213" t="s">
        <v>56</v>
      </c>
      <c r="B16" s="215" t="s">
        <v>338</v>
      </c>
      <c r="D16" t="s">
        <v>198</v>
      </c>
      <c r="K16" t="s">
        <v>198</v>
      </c>
      <c r="L16" t="str">
        <f t="shared" si="0"/>
        <v/>
      </c>
    </row>
    <row r="17" spans="1:12" ht="27">
      <c r="A17" s="213" t="s">
        <v>59</v>
      </c>
      <c r="B17" s="216" t="s">
        <v>245</v>
      </c>
      <c r="C17" t="s">
        <v>198</v>
      </c>
      <c r="K17" t="s">
        <v>198</v>
      </c>
      <c r="L17" t="str">
        <f t="shared" si="0"/>
        <v/>
      </c>
    </row>
    <row r="18" spans="1:12" ht="40.2">
      <c r="A18" s="213" t="s">
        <v>60</v>
      </c>
      <c r="B18" s="215" t="s">
        <v>322</v>
      </c>
      <c r="C18" t="s">
        <v>198</v>
      </c>
      <c r="E18" t="s">
        <v>198</v>
      </c>
      <c r="K18" t="s">
        <v>198</v>
      </c>
      <c r="L18" t="str">
        <f t="shared" si="0"/>
        <v/>
      </c>
    </row>
    <row r="19" spans="1:12" ht="53.4">
      <c r="A19" s="213" t="s">
        <v>62</v>
      </c>
      <c r="B19" s="216" t="s">
        <v>578</v>
      </c>
      <c r="C19" t="s">
        <v>198</v>
      </c>
      <c r="K19" t="s">
        <v>198</v>
      </c>
      <c r="L19" t="str">
        <f t="shared" si="0"/>
        <v/>
      </c>
    </row>
    <row r="20" spans="1:12" ht="40.2">
      <c r="A20" s="213" t="s">
        <v>63</v>
      </c>
      <c r="B20" s="215" t="s">
        <v>579</v>
      </c>
      <c r="C20" t="s">
        <v>198</v>
      </c>
      <c r="J20" t="s">
        <v>198</v>
      </c>
      <c r="L20" t="str">
        <f t="shared" si="0"/>
        <v/>
      </c>
    </row>
    <row r="21" spans="1:12" ht="27">
      <c r="A21" s="213" t="s">
        <v>64</v>
      </c>
      <c r="B21" s="215" t="s">
        <v>237</v>
      </c>
      <c r="C21" t="s">
        <v>198</v>
      </c>
      <c r="K21" t="s">
        <v>198</v>
      </c>
      <c r="L21" t="str">
        <f t="shared" si="0"/>
        <v/>
      </c>
    </row>
    <row r="22" spans="1:12" ht="27">
      <c r="A22" s="213" t="s">
        <v>66</v>
      </c>
      <c r="B22" s="215" t="s">
        <v>323</v>
      </c>
      <c r="I22" t="s">
        <v>198</v>
      </c>
      <c r="K22" t="s">
        <v>198</v>
      </c>
      <c r="L22" t="str">
        <f t="shared" si="0"/>
        <v/>
      </c>
    </row>
    <row r="23" spans="1:12" ht="27">
      <c r="A23" s="213" t="s">
        <v>67</v>
      </c>
      <c r="B23" s="215" t="s">
        <v>323</v>
      </c>
      <c r="I23" t="s">
        <v>198</v>
      </c>
      <c r="K23" t="s">
        <v>198</v>
      </c>
      <c r="L23" t="str">
        <f t="shared" si="0"/>
        <v/>
      </c>
    </row>
    <row r="24" spans="1:12" ht="46.8">
      <c r="A24" s="213" t="s">
        <v>68</v>
      </c>
      <c r="B24" s="215" t="s">
        <v>339</v>
      </c>
      <c r="C24" t="s">
        <v>198</v>
      </c>
      <c r="E24" t="s">
        <v>198</v>
      </c>
      <c r="K24" t="s">
        <v>198</v>
      </c>
      <c r="L24" t="str">
        <f t="shared" si="0"/>
        <v/>
      </c>
    </row>
    <row r="25" spans="1:12" ht="53.4">
      <c r="A25" s="213" t="s">
        <v>69</v>
      </c>
      <c r="B25" s="215" t="s">
        <v>324</v>
      </c>
      <c r="F25" t="s">
        <v>198</v>
      </c>
      <c r="K25" t="s">
        <v>198</v>
      </c>
      <c r="L25" t="str">
        <f t="shared" si="0"/>
        <v/>
      </c>
    </row>
    <row r="26" spans="1:12" ht="53.4">
      <c r="A26" s="213" t="s">
        <v>70</v>
      </c>
      <c r="B26" s="215" t="s">
        <v>237</v>
      </c>
      <c r="C26" t="s">
        <v>198</v>
      </c>
      <c r="K26" t="s">
        <v>198</v>
      </c>
      <c r="L26" t="str">
        <f t="shared" si="0"/>
        <v/>
      </c>
    </row>
    <row r="27" spans="1:12" ht="40.2">
      <c r="A27" s="213" t="s">
        <v>71</v>
      </c>
      <c r="B27" s="215" t="s">
        <v>237</v>
      </c>
      <c r="C27" t="s">
        <v>198</v>
      </c>
      <c r="K27" t="s">
        <v>198</v>
      </c>
      <c r="L27" t="str">
        <f t="shared" si="0"/>
        <v/>
      </c>
    </row>
    <row r="28" spans="1:12" ht="31.2">
      <c r="A28" s="213" t="s">
        <v>72</v>
      </c>
      <c r="B28" s="215" t="s">
        <v>326</v>
      </c>
      <c r="C28" t="s">
        <v>198</v>
      </c>
      <c r="D28" t="s">
        <v>198</v>
      </c>
      <c r="K28" t="s">
        <v>198</v>
      </c>
      <c r="L28" t="str">
        <f t="shared" si="0"/>
        <v/>
      </c>
    </row>
    <row r="29" spans="1:12" ht="15.75">
      <c r="A29" s="217" t="s">
        <v>73</v>
      </c>
      <c r="B29" s="216" t="s">
        <v>580</v>
      </c>
      <c r="C29" t="s">
        <v>198</v>
      </c>
      <c r="E29" t="s">
        <v>198</v>
      </c>
      <c r="H29" t="s">
        <v>198</v>
      </c>
      <c r="I29" t="s">
        <v>198</v>
      </c>
      <c r="K29" t="s">
        <v>198</v>
      </c>
      <c r="L29" t="str">
        <f t="shared" si="0"/>
        <v/>
      </c>
    </row>
    <row r="30" spans="1:12" ht="31.2">
      <c r="A30" s="213" t="s">
        <v>76</v>
      </c>
      <c r="B30" s="215" t="s">
        <v>327</v>
      </c>
      <c r="C30" t="s">
        <v>198</v>
      </c>
      <c r="D30" t="s">
        <v>198</v>
      </c>
      <c r="K30" t="s">
        <v>198</v>
      </c>
      <c r="L30" t="str">
        <f t="shared" si="0"/>
        <v/>
      </c>
    </row>
    <row r="31" spans="1:12" ht="27">
      <c r="A31" s="213" t="s">
        <v>77</v>
      </c>
      <c r="B31" s="215" t="s">
        <v>328</v>
      </c>
      <c r="C31" t="s">
        <v>198</v>
      </c>
      <c r="K31" t="s">
        <v>198</v>
      </c>
      <c r="L31" t="str">
        <f t="shared" si="0"/>
        <v/>
      </c>
    </row>
    <row r="32" spans="1:12" ht="27">
      <c r="A32" s="213" t="s">
        <v>78</v>
      </c>
      <c r="B32" s="215" t="s">
        <v>329</v>
      </c>
      <c r="C32" t="s">
        <v>198</v>
      </c>
      <c r="K32" t="s">
        <v>198</v>
      </c>
      <c r="L32" t="str">
        <f t="shared" si="0"/>
        <v/>
      </c>
    </row>
    <row r="33" spans="1:12" ht="27">
      <c r="A33" s="213" t="s">
        <v>81</v>
      </c>
      <c r="B33" s="215" t="s">
        <v>245</v>
      </c>
      <c r="C33" t="s">
        <v>198</v>
      </c>
      <c r="K33" t="s">
        <v>198</v>
      </c>
      <c r="L33" t="str">
        <f t="shared" si="0"/>
        <v/>
      </c>
    </row>
    <row r="34" spans="1:12" ht="40.2">
      <c r="A34" s="213" t="s">
        <v>84</v>
      </c>
      <c r="B34" s="215" t="s">
        <v>581</v>
      </c>
      <c r="C34" t="s">
        <v>198</v>
      </c>
      <c r="H34" t="s">
        <v>198</v>
      </c>
      <c r="J34" t="s">
        <v>198</v>
      </c>
      <c r="L34" t="str">
        <f t="shared" si="0"/>
        <v/>
      </c>
    </row>
    <row r="35" spans="1:12" ht="40.2">
      <c r="A35" s="213" t="s">
        <v>85</v>
      </c>
      <c r="B35" s="215" t="s">
        <v>308</v>
      </c>
      <c r="C35" t="s">
        <v>198</v>
      </c>
      <c r="J35" t="s">
        <v>198</v>
      </c>
      <c r="L35" t="str">
        <f t="shared" si="0"/>
        <v/>
      </c>
    </row>
    <row r="36" spans="1:12" ht="27">
      <c r="A36" s="213" t="s">
        <v>87</v>
      </c>
      <c r="B36" s="215" t="s">
        <v>331</v>
      </c>
      <c r="C36" t="s">
        <v>198</v>
      </c>
      <c r="K36" t="s">
        <v>198</v>
      </c>
      <c r="L36" t="str">
        <f t="shared" si="0"/>
        <v/>
      </c>
    </row>
    <row r="37" spans="1:12" ht="27">
      <c r="A37" s="213" t="s">
        <v>90</v>
      </c>
      <c r="B37" s="215" t="s">
        <v>331</v>
      </c>
      <c r="C37" t="s">
        <v>198</v>
      </c>
      <c r="K37" t="s">
        <v>198</v>
      </c>
      <c r="L37" t="str">
        <f t="shared" si="0"/>
        <v/>
      </c>
    </row>
    <row r="38" spans="1:12" ht="15.75">
      <c r="A38" s="213" t="s">
        <v>91</v>
      </c>
      <c r="B38" s="215" t="s">
        <v>332</v>
      </c>
      <c r="C38" t="s">
        <v>198</v>
      </c>
      <c r="K38" t="s">
        <v>198</v>
      </c>
      <c r="L38" t="str">
        <f t="shared" si="0"/>
        <v/>
      </c>
    </row>
    <row r="39" spans="1:12" ht="27">
      <c r="A39" s="213" t="s">
        <v>93</v>
      </c>
      <c r="B39" s="215" t="s">
        <v>333</v>
      </c>
      <c r="C39" t="s">
        <v>198</v>
      </c>
      <c r="K39" t="s">
        <v>198</v>
      </c>
      <c r="L39" t="str">
        <f t="shared" si="0"/>
        <v/>
      </c>
    </row>
    <row r="40" spans="1:12" ht="40.2">
      <c r="A40" s="213" t="s">
        <v>95</v>
      </c>
      <c r="B40" s="215" t="s">
        <v>245</v>
      </c>
      <c r="C40" t="s">
        <v>198</v>
      </c>
      <c r="K40" t="s">
        <v>198</v>
      </c>
      <c r="L40" t="str">
        <f t="shared" si="0"/>
        <v/>
      </c>
    </row>
    <row r="41" spans="1:12" ht="27">
      <c r="A41" s="213" t="s">
        <v>98</v>
      </c>
      <c r="B41" s="215" t="s">
        <v>249</v>
      </c>
      <c r="E41" t="s">
        <v>198</v>
      </c>
      <c r="K41" t="s">
        <v>198</v>
      </c>
      <c r="L41" t="str">
        <f t="shared" si="0"/>
        <v/>
      </c>
    </row>
    <row r="42" spans="1:12" ht="46.8">
      <c r="A42" s="213" t="s">
        <v>99</v>
      </c>
      <c r="B42" s="215" t="s">
        <v>582</v>
      </c>
      <c r="C42" t="s">
        <v>198</v>
      </c>
      <c r="H42" t="s">
        <v>198</v>
      </c>
      <c r="J42" t="s">
        <v>198</v>
      </c>
      <c r="L42" t="str">
        <f t="shared" si="0"/>
        <v/>
      </c>
    </row>
    <row r="43" spans="1:12" ht="78">
      <c r="A43" s="213" t="s">
        <v>101</v>
      </c>
      <c r="B43" s="215" t="s">
        <v>583</v>
      </c>
      <c r="C43" t="s">
        <v>198</v>
      </c>
      <c r="D43" t="s">
        <v>198</v>
      </c>
      <c r="J43" t="s">
        <v>198</v>
      </c>
      <c r="L43" t="str">
        <f t="shared" si="0"/>
        <v/>
      </c>
    </row>
    <row r="44" spans="1:12" ht="53.4">
      <c r="A44" s="213" t="s">
        <v>103</v>
      </c>
      <c r="B44" s="215" t="s">
        <v>330</v>
      </c>
      <c r="C44" t="s">
        <v>198</v>
      </c>
      <c r="J44" t="s">
        <v>198</v>
      </c>
      <c r="L44" t="str">
        <f t="shared" si="0"/>
        <v/>
      </c>
    </row>
    <row r="45" spans="1:12" ht="15.75">
      <c r="A45" s="213" t="s">
        <v>348</v>
      </c>
      <c r="B45" s="214" t="s">
        <v>584</v>
      </c>
      <c r="C45" s="214" t="s">
        <v>198</v>
      </c>
      <c r="D45" s="8"/>
      <c r="J45" t="s">
        <v>198</v>
      </c>
      <c r="L45" t="str">
        <f t="shared" si="0"/>
        <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GN207"/>
  <sheetViews>
    <sheetView zoomScale="70" zoomScaleNormal="70" workbookViewId="0" topLeftCell="A1">
      <selection activeCell="J13" sqref="J13"/>
    </sheetView>
  </sheetViews>
  <sheetFormatPr defaultColWidth="9.00390625" defaultRowHeight="15.75"/>
  <cols>
    <col min="1" max="1" width="13.125" style="0" customWidth="1"/>
    <col min="2" max="2" width="7.375" style="0" bestFit="1" customWidth="1"/>
    <col min="3" max="3" width="10.50390625" style="0" bestFit="1" customWidth="1"/>
    <col min="5" max="5" width="18.25390625" style="0" customWidth="1"/>
    <col min="6" max="6" width="5.375" style="0" customWidth="1"/>
    <col min="9" max="9" width="15.625" style="0" bestFit="1" customWidth="1"/>
    <col min="11" max="11" width="20.125" style="0" customWidth="1"/>
    <col min="12" max="12" width="15.125" style="0" customWidth="1"/>
    <col min="17" max="17" width="10.125" style="0" bestFit="1" customWidth="1"/>
  </cols>
  <sheetData>
    <row r="1" spans="4:192" ht="15.75">
      <c r="D1" s="8"/>
      <c r="E1" s="8"/>
      <c r="F1" s="8"/>
      <c r="G1" s="36"/>
      <c r="H1" s="36"/>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row>
    <row r="2" spans="2:187" ht="15.75" customHeight="1">
      <c r="B2" s="8"/>
      <c r="C2" s="42"/>
      <c r="D2" s="8"/>
      <c r="E2" s="8"/>
      <c r="F2" s="8"/>
      <c r="G2" s="41"/>
      <c r="H2" s="43"/>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row>
    <row r="3" spans="1:187" ht="15.75" customHeight="1">
      <c r="A3" s="200" t="s">
        <v>4</v>
      </c>
      <c r="B3" s="200"/>
      <c r="C3" s="8"/>
      <c r="D3" s="8"/>
      <c r="E3" s="199" t="s">
        <v>471</v>
      </c>
      <c r="F3" s="199"/>
      <c r="G3" s="8"/>
      <c r="H3" s="43"/>
      <c r="I3" s="48" t="s">
        <v>270</v>
      </c>
      <c r="J3" s="35" t="s">
        <v>193</v>
      </c>
      <c r="K3" s="35" t="s">
        <v>194</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row>
    <row r="4" spans="2:186" ht="27">
      <c r="B4" s="35" t="s">
        <v>193</v>
      </c>
      <c r="C4" s="35" t="s">
        <v>194</v>
      </c>
      <c r="D4" s="8"/>
      <c r="F4" t="s">
        <v>193</v>
      </c>
      <c r="G4" s="92" t="s">
        <v>194</v>
      </c>
      <c r="H4" s="43"/>
      <c r="I4" s="49" t="s">
        <v>269</v>
      </c>
      <c r="J4" s="113">
        <v>14</v>
      </c>
      <c r="K4" s="114">
        <v>0.3181818181818182</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row>
    <row r="5" spans="1:186" ht="36" customHeight="1">
      <c r="A5" s="37" t="s">
        <v>107</v>
      </c>
      <c r="B5" s="35">
        <f>COUNTIF('Data extraction-synthesis'!$E$2:$E$45,"Journal article")</f>
        <v>16</v>
      </c>
      <c r="C5" s="67">
        <f>B5/44</f>
        <v>0.36363636363636365</v>
      </c>
      <c r="D5" s="42"/>
      <c r="E5" t="s">
        <v>369</v>
      </c>
      <c r="F5">
        <f>COUNTIF('Data extraction-synthesis'!P2:P45,"Database search")</f>
        <v>9</v>
      </c>
      <c r="G5" s="44">
        <f>F5/44</f>
        <v>0.20454545454545456</v>
      </c>
      <c r="H5" s="43"/>
      <c r="I5" s="49" t="s">
        <v>262</v>
      </c>
      <c r="J5" s="113">
        <v>14</v>
      </c>
      <c r="K5" s="114">
        <v>0.3181818181818182</v>
      </c>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row>
    <row r="6" spans="1:186" ht="27">
      <c r="A6" s="37" t="s">
        <v>27</v>
      </c>
      <c r="B6" s="35">
        <f>COUNTIF('Data extraction-synthesis'!$E$2:$E$45,"Report")</f>
        <v>23</v>
      </c>
      <c r="C6" s="67">
        <f>B6/44</f>
        <v>0.5227272727272727</v>
      </c>
      <c r="D6" s="8"/>
      <c r="E6" t="s">
        <v>370</v>
      </c>
      <c r="F6">
        <f>COUNTIF('Data extraction-synthesis'!P2:P45,"Website search ")</f>
        <v>28</v>
      </c>
      <c r="G6" s="44">
        <f>F6/44</f>
        <v>0.6363636363636364</v>
      </c>
      <c r="H6" s="41"/>
      <c r="I6" s="49" t="s">
        <v>265</v>
      </c>
      <c r="J6" s="113">
        <v>7</v>
      </c>
      <c r="K6" s="114">
        <v>0.1590909090909091</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row>
    <row r="7" spans="1:186" ht="27">
      <c r="A7" s="37" t="s">
        <v>88</v>
      </c>
      <c r="B7" s="35">
        <f>COUNTIF('Data extraction-synthesis'!$E$2:$E$45,"Published TPP")</f>
        <v>4</v>
      </c>
      <c r="C7" s="67">
        <f>B7/44</f>
        <v>0.09090909090909091</v>
      </c>
      <c r="D7" s="8"/>
      <c r="E7" t="s">
        <v>371</v>
      </c>
      <c r="F7">
        <f>COUNTIF('Data extraction-synthesis'!P2:P45,"Both")</f>
        <v>7</v>
      </c>
      <c r="G7" s="44">
        <f>F7/44</f>
        <v>0.1590909090909091</v>
      </c>
      <c r="H7" s="43"/>
      <c r="I7" s="49" t="s">
        <v>263</v>
      </c>
      <c r="J7" s="113">
        <v>6</v>
      </c>
      <c r="K7" s="114">
        <v>0.13636363636363635</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row>
    <row r="8" spans="1:186" ht="15.75">
      <c r="A8" s="37" t="s">
        <v>102</v>
      </c>
      <c r="B8" s="35">
        <f>COUNTIF('Data extraction-synthesis'!$E$2:$E$45,"Poster")</f>
        <v>1</v>
      </c>
      <c r="C8" s="67">
        <f>B8/44</f>
        <v>0.022727272727272728</v>
      </c>
      <c r="D8" s="8"/>
      <c r="E8" s="36"/>
      <c r="F8" s="36"/>
      <c r="G8" s="8"/>
      <c r="H8" s="8"/>
      <c r="I8" s="49" t="s">
        <v>264</v>
      </c>
      <c r="J8" s="113">
        <v>0</v>
      </c>
      <c r="K8" s="114">
        <v>0</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row>
    <row r="9" spans="2:186" ht="15.75">
      <c r="B9" s="8">
        <f>SUM(B5:B8)</f>
        <v>44</v>
      </c>
      <c r="C9" s="42">
        <f>SUM(C5:C8)</f>
        <v>1</v>
      </c>
      <c r="D9" s="8"/>
      <c r="E9" s="35"/>
      <c r="F9" s="36"/>
      <c r="G9" s="8"/>
      <c r="H9" s="8"/>
      <c r="I9" s="49" t="s">
        <v>236</v>
      </c>
      <c r="J9" s="113">
        <v>1</v>
      </c>
      <c r="K9" s="114">
        <v>0.022727272727272728</v>
      </c>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row>
    <row r="10" spans="1:186" ht="15.75">
      <c r="A10" s="201"/>
      <c r="B10" s="201"/>
      <c r="C10" s="62"/>
      <c r="D10" s="8"/>
      <c r="E10" s="36"/>
      <c r="F10" s="36"/>
      <c r="G10" s="8"/>
      <c r="H10" s="8"/>
      <c r="I10" s="49" t="s">
        <v>235</v>
      </c>
      <c r="J10" s="113">
        <v>1</v>
      </c>
      <c r="K10" s="114">
        <v>0.022727272727272728</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row>
    <row r="11" spans="1:186" ht="15.75">
      <c r="A11" s="62"/>
      <c r="B11" s="62"/>
      <c r="C11" s="62"/>
      <c r="D11" s="8"/>
      <c r="E11" s="8"/>
      <c r="F11" s="8"/>
      <c r="G11" s="8"/>
      <c r="H11" s="8"/>
      <c r="I11" s="64" t="s">
        <v>349</v>
      </c>
      <c r="J11" s="113">
        <v>1</v>
      </c>
      <c r="K11" s="114">
        <v>0.022727272727272728</v>
      </c>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row>
    <row r="12" spans="1:187" ht="15.75">
      <c r="A12" s="62"/>
      <c r="B12" s="62"/>
      <c r="C12" s="62"/>
      <c r="D12" s="42"/>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row>
    <row r="13" spans="1:187" ht="15.75">
      <c r="A13" s="62"/>
      <c r="B13" s="62"/>
      <c r="C13" s="62"/>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row>
    <row r="14" spans="1:196" ht="15.75">
      <c r="A14" s="62"/>
      <c r="B14" s="62"/>
      <c r="C14" s="62"/>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row>
    <row r="15" spans="1:196" ht="15.75">
      <c r="A15" s="62"/>
      <c r="B15" s="62"/>
      <c r="C15" s="62"/>
      <c r="D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row>
    <row r="16" spans="1:196" ht="15.75">
      <c r="A16" s="62"/>
      <c r="B16" s="62"/>
      <c r="C16" s="62"/>
      <c r="D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row>
    <row r="17" spans="1:196" ht="15.75">
      <c r="A17" s="62"/>
      <c r="B17" s="62"/>
      <c r="C17" s="62"/>
      <c r="D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row>
    <row r="18" spans="4:196" ht="15.75">
      <c r="D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row>
    <row r="19" spans="4:196" ht="15.75">
      <c r="D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row>
    <row r="20" spans="4:196" ht="15.75">
      <c r="D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row>
    <row r="21" spans="4:196" ht="15.75">
      <c r="D21" s="8"/>
      <c r="E21" s="8"/>
      <c r="F21" s="8"/>
      <c r="G21" s="8"/>
      <c r="H21" s="8"/>
      <c r="I21" s="8"/>
      <c r="J21" s="8"/>
      <c r="K21" s="8"/>
      <c r="L21" s="60"/>
      <c r="M21" s="8"/>
      <c r="N21" s="8"/>
      <c r="O21" s="8"/>
      <c r="P21" s="8"/>
      <c r="Q21" s="60"/>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row>
    <row r="22" spans="4:196" ht="15.75">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row>
    <row r="23" spans="4:196" ht="15.75">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row>
    <row r="24" spans="4:196" ht="15.75">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row>
    <row r="25" spans="4:196" ht="15.75">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row>
    <row r="26" spans="4:196" ht="15.75">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row>
    <row r="27" spans="2:196" ht="15.75">
      <c r="B27" s="8"/>
      <c r="C27" s="42"/>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row>
    <row r="28" spans="2:196" ht="15.75">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row>
    <row r="29" spans="2:196" ht="15.75">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row>
    <row r="30" spans="2:196" ht="15.75">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row>
    <row r="31" spans="2:196" ht="15.7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row>
    <row r="32" spans="2:196" ht="15.75">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row>
    <row r="33" spans="2:196" ht="15.75">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row>
    <row r="34" spans="2:196" ht="15.7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row>
    <row r="35" spans="2:196" ht="15.75">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row>
    <row r="36" spans="2:196" ht="15.75">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row>
    <row r="37" spans="2:196" ht="15.7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row>
    <row r="38" spans="2:196" ht="15.7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row>
    <row r="39" spans="2:196" ht="15.7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row>
    <row r="40" spans="2:196" ht="15.7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row>
    <row r="41" spans="2:196" ht="15.75">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row>
    <row r="42" spans="2:196" ht="15.7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row>
    <row r="43" spans="2:196" ht="15.7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row>
    <row r="44" spans="2:196" ht="15.7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row>
    <row r="45" spans="2:196" ht="15.7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row>
    <row r="46" spans="2:196" ht="15.75">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row>
    <row r="47" spans="2:196" ht="15.75">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row>
    <row r="48" spans="2:196" ht="15.7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row>
    <row r="49" spans="2:196" ht="15.7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row>
    <row r="50" spans="2:196" ht="15.75">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row>
    <row r="51" spans="2:196" ht="15.7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row>
    <row r="52" spans="2:196" ht="15.7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row>
    <row r="53" spans="2:196" ht="15.7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row>
    <row r="54" spans="2:196" ht="15.7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row>
    <row r="55" spans="2:196" ht="15.75">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row>
    <row r="56" spans="2:196" ht="15.7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row>
    <row r="57" spans="2:196" ht="15.75">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row>
    <row r="58" spans="2:196" ht="15.75">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row>
    <row r="59" spans="2:196" ht="15.75">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row>
    <row r="60" spans="2:196" ht="15.7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row>
    <row r="61" spans="2:196" ht="15.7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row>
    <row r="62" spans="2:196" ht="15.7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row>
    <row r="63" spans="2:196" ht="15.75">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row>
    <row r="64" spans="2:196" ht="15.75">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row>
    <row r="65" spans="2:196" ht="15.7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row>
    <row r="66" spans="2:196" ht="15.75">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row>
    <row r="67" spans="2:196" ht="15.7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row>
    <row r="68" spans="2:196" ht="15.7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row>
    <row r="69" spans="2:196" ht="15.7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row>
    <row r="70" spans="2:196" ht="15.75">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row>
    <row r="71" spans="2:196" ht="15.75">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row>
    <row r="72" spans="2:196" ht="15.75">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row>
    <row r="73" spans="2:196" ht="15.75">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row>
    <row r="74" spans="2:196" ht="15.75">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row>
    <row r="75" spans="2:196" ht="15.75">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row>
    <row r="76" spans="2:196" ht="15.75">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row>
    <row r="77" spans="2:196" ht="15.75">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row>
    <row r="78" spans="2:196" ht="15.75">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row>
    <row r="79" spans="2:196" ht="15.75">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row>
    <row r="80" spans="2:196" ht="15.75">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row>
    <row r="81" spans="2:196" ht="15.75">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row>
    <row r="82" spans="2:196" ht="15.75">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row>
    <row r="83" spans="2:196" ht="15.75">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row>
    <row r="84" spans="2:196" ht="15.75">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row>
    <row r="85" spans="2:196" ht="15.7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row>
    <row r="86" spans="2:196" ht="15.75">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row>
    <row r="87" spans="2:196" ht="15.75">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row>
    <row r="88" spans="2:196" ht="15.7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row>
    <row r="89" spans="2:196" ht="15.75">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row>
    <row r="90" spans="2:196" ht="15.7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row>
    <row r="91" spans="2:196" ht="15.75">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row>
    <row r="92" spans="2:196" ht="15.75">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row>
    <row r="93" spans="2:196" ht="15.7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row>
    <row r="94" spans="2:196" ht="15.7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row>
    <row r="95" spans="2:196" ht="15.7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row>
    <row r="96" spans="2:196" ht="15.75">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row>
    <row r="97" spans="2:196" ht="15.7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row>
    <row r="98" spans="2:196" ht="15.7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row>
    <row r="99" spans="2:196" ht="15.7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row>
    <row r="100" spans="2:196" ht="15.7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row>
    <row r="101" spans="2:196" ht="15.7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row>
    <row r="102" spans="2:196" ht="15.7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row>
    <row r="103" spans="2:196" ht="15.7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row>
    <row r="104" spans="2:196" ht="15.7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row>
    <row r="105" spans="2:196" ht="15.7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row>
    <row r="106" spans="2:196" ht="15.7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row>
    <row r="107" spans="2:196" ht="15.7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row>
    <row r="108" spans="2:196" ht="15.7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row>
    <row r="109" spans="2:196" ht="15.75">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row>
    <row r="110" spans="2:196" ht="15.7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row>
    <row r="111" spans="2:196" ht="15.75">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row>
    <row r="112" spans="2:196" ht="15.75">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row>
    <row r="113" spans="2:196" ht="15.75">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row>
    <row r="114" spans="2:196" ht="15.75">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row>
    <row r="115" spans="2:196" ht="15.75">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row>
    <row r="116" spans="2:196" ht="15.7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row>
    <row r="117" spans="2:196" ht="15.7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row>
    <row r="118" spans="2:196" ht="15.7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row>
    <row r="119" spans="2:196" ht="15.7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row>
    <row r="120" spans="2:196" ht="15.7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row>
    <row r="121" spans="2:196" ht="15.7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row>
    <row r="122" spans="2:196" ht="15.7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row>
    <row r="123" spans="2:196" ht="15.7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row>
    <row r="124" spans="2:196" ht="15.7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row>
    <row r="125" spans="2:196" ht="15.7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row>
    <row r="126" spans="2:196" ht="15.7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row>
    <row r="127" spans="2:196" ht="15.7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row>
    <row r="128" spans="2:196" ht="15.7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row>
    <row r="129" spans="2:196" ht="15.7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row>
    <row r="130" spans="2:196" ht="15.7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row>
    <row r="131" spans="2:196" ht="15.7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row>
    <row r="132" spans="2:196" ht="15.7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row>
    <row r="133" spans="2:196" ht="15.7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row>
    <row r="134" spans="2:196" ht="15.7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row>
    <row r="135" spans="2:196" ht="15.7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row>
    <row r="136" spans="2:196" ht="15.7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row>
    <row r="137" spans="2:196" ht="15.7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row>
    <row r="138" spans="2:196" ht="15.7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row>
    <row r="139" spans="2:196" ht="15.7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row>
    <row r="140" spans="2:196" ht="15.75">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row>
    <row r="141" spans="2:196" ht="15.75">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row>
    <row r="142" spans="2:196" ht="15.75">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row>
    <row r="143" spans="2:196" ht="15.75">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row>
    <row r="144" spans="2:196" ht="15.75">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row>
    <row r="145" spans="2:196" ht="15.75">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row>
    <row r="146" spans="2:196" ht="15.75">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row>
    <row r="147" spans="2:196" ht="15.75">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row>
    <row r="148" spans="2:196" ht="15.75">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row>
    <row r="149" spans="2:196" ht="15.75">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row>
    <row r="150" spans="2:196" ht="15.75">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row>
    <row r="151" spans="2:196" ht="15.75">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row>
    <row r="152" spans="2:196" ht="15.75">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row>
    <row r="153" spans="2:196" ht="15.75">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row>
    <row r="154" spans="2:196" ht="15.75">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row>
    <row r="155" spans="2:196" ht="15.75">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row>
    <row r="156" spans="2:196" ht="15.75">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row>
    <row r="157" spans="2:196" ht="15.75">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row>
    <row r="158" spans="2:196" ht="15.75">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row>
    <row r="159" spans="2:196" ht="15.75">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row>
    <row r="160" spans="2:196" ht="15.75">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row>
    <row r="161" spans="2:196" ht="15.75">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row>
    <row r="162" spans="2:196" ht="15.75">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row>
    <row r="163" spans="2:196" ht="15.75">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row>
    <row r="164" spans="2:196" ht="15.75">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row>
    <row r="165" spans="2:196" ht="15.75">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row>
    <row r="166" spans="2:196" ht="15.75">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row>
    <row r="167" spans="2:196" ht="15.75">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row>
    <row r="168" spans="2:196" ht="15.75">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row>
    <row r="169" spans="2:196" ht="15.75">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row>
    <row r="170" spans="2:196" ht="15.75">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row>
    <row r="171" spans="2:196" ht="15.75">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row>
    <row r="172" spans="2:196" ht="15.75">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row>
    <row r="173" spans="2:196" ht="15.75">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row>
    <row r="174" spans="2:196" ht="15.75">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row>
    <row r="175" spans="2:196" ht="15.75">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row>
    <row r="176" spans="2:196" ht="15.75">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row>
    <row r="177" spans="2:196" ht="15.75">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row>
    <row r="178" spans="2:196" ht="15.75">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row>
    <row r="179" spans="2:196" ht="15.75">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row>
    <row r="180" spans="2:196" ht="15.75">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row>
    <row r="181" spans="2:196" ht="15.75">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row>
    <row r="182" spans="2:196" ht="15.75">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row>
    <row r="183" spans="2:196" ht="15.75">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row>
    <row r="184" spans="2:196" ht="15.75">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row>
    <row r="185" spans="2:196" ht="15.75">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row>
    <row r="186" spans="2:196" ht="15.75">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row>
    <row r="187" spans="2:196" ht="15.75">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row>
    <row r="188" spans="2:196" ht="15.75">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row>
    <row r="189" spans="2:196" ht="15.75">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row>
    <row r="190" spans="2:196" ht="15.75">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row>
    <row r="191" spans="2:196" ht="15.75">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row>
    <row r="192" spans="2:196" ht="15.75">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row>
    <row r="193" spans="2:196" ht="15.75">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c r="FV193" s="8"/>
      <c r="FW193" s="8"/>
      <c r="FX193" s="8"/>
      <c r="FY193" s="8"/>
      <c r="FZ193" s="8"/>
      <c r="GA193" s="8"/>
      <c r="GB193" s="8"/>
      <c r="GC193" s="8"/>
      <c r="GD193" s="8"/>
      <c r="GE193" s="8"/>
      <c r="GF193" s="8"/>
      <c r="GG193" s="8"/>
      <c r="GH193" s="8"/>
      <c r="GI193" s="8"/>
      <c r="GJ193" s="8"/>
      <c r="GK193" s="8"/>
      <c r="GL193" s="8"/>
      <c r="GM193" s="8"/>
      <c r="GN193" s="8"/>
    </row>
    <row r="194" spans="2:196" ht="15.75">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row>
    <row r="195" spans="2:196" ht="15.75">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row>
    <row r="196" spans="2:196" ht="15.75">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row>
    <row r="197" spans="2:196" ht="15.75">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row>
    <row r="198" spans="2:196" ht="15.75">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row>
    <row r="199" spans="2:196" ht="15.75">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row>
    <row r="200" spans="2:196" ht="15.75">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row>
    <row r="201" spans="2:196" ht="15.75">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row>
    <row r="202" spans="2:196" ht="15.75">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row>
    <row r="203" spans="2:196" ht="15.75">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row>
    <row r="204" spans="2:196" ht="15.75">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row>
    <row r="205" spans="4:196" ht="15.75">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c r="FT205" s="8"/>
      <c r="FU205" s="8"/>
      <c r="FV205" s="8"/>
      <c r="FW205" s="8"/>
      <c r="FX205" s="8"/>
      <c r="FY205" s="8"/>
      <c r="FZ205" s="8"/>
      <c r="GA205" s="8"/>
      <c r="GB205" s="8"/>
      <c r="GC205" s="8"/>
      <c r="GD205" s="8"/>
      <c r="GE205" s="8"/>
      <c r="GF205" s="8"/>
      <c r="GG205" s="8"/>
      <c r="GH205" s="8"/>
      <c r="GI205" s="8"/>
      <c r="GJ205" s="8"/>
      <c r="GK205" s="8"/>
      <c r="GL205" s="8"/>
      <c r="GM205" s="8"/>
      <c r="GN205" s="8"/>
    </row>
    <row r="206" spans="5:12" ht="15.75">
      <c r="E206" s="8"/>
      <c r="F206" s="8"/>
      <c r="K206" s="8"/>
      <c r="L206" s="8"/>
    </row>
    <row r="207" spans="5:11" ht="15.75">
      <c r="E207" s="8"/>
      <c r="F207" s="8"/>
      <c r="K207" s="8"/>
    </row>
  </sheetData>
  <sheetProtection sheet="1" objects="1" scenarios="1"/>
  <mergeCells count="3">
    <mergeCell ref="E3:F3"/>
    <mergeCell ref="A3:B3"/>
    <mergeCell ref="A10:B10"/>
  </mergeCells>
  <conditionalFormatting sqref="H1">
    <cfRule type="containsText" priority="7" dxfId="0" operator="containsText" text="YES">
      <formula>NOT(ISERROR(SEARCH("YES",H1)))</formula>
    </cfRule>
  </conditionalFormatting>
  <conditionalFormatting sqref="F8:F10">
    <cfRule type="containsText" priority="2" dxfId="0" operator="containsText" text="YES">
      <formula>NOT(ISERROR(SEARCH("YES",F8)))</formula>
    </cfRule>
  </conditionalFormatting>
  <printOptions/>
  <pageMargins left="0.7" right="0.7"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M34"/>
  <sheetViews>
    <sheetView zoomScale="70" zoomScaleNormal="70" workbookViewId="0" topLeftCell="A1">
      <selection activeCell="E2" sqref="E2"/>
    </sheetView>
  </sheetViews>
  <sheetFormatPr defaultColWidth="9.00390625" defaultRowHeight="15.75"/>
  <sheetData>
    <row r="1" spans="1:11" ht="145.8">
      <c r="A1" s="6" t="s">
        <v>4</v>
      </c>
      <c r="B1" s="6" t="s">
        <v>156</v>
      </c>
      <c r="C1" s="6" t="s">
        <v>104</v>
      </c>
      <c r="D1" s="37" t="s">
        <v>7</v>
      </c>
      <c r="E1" s="6" t="s">
        <v>8</v>
      </c>
      <c r="F1" s="6" t="s">
        <v>9</v>
      </c>
      <c r="G1" s="6" t="s">
        <v>159</v>
      </c>
      <c r="H1" s="6" t="s">
        <v>105</v>
      </c>
      <c r="I1" s="7" t="s">
        <v>106</v>
      </c>
      <c r="J1" s="7" t="s">
        <v>165</v>
      </c>
      <c r="K1" s="7" t="s">
        <v>166</v>
      </c>
    </row>
    <row r="2" spans="1:13" ht="79.8">
      <c r="A2" s="8" t="s">
        <v>107</v>
      </c>
      <c r="B2" s="8">
        <v>1</v>
      </c>
      <c r="C2" s="8" t="s">
        <v>47</v>
      </c>
      <c r="D2" s="8" t="s">
        <v>14</v>
      </c>
      <c r="E2" s="8" t="s">
        <v>29</v>
      </c>
      <c r="F2" s="8" t="s">
        <v>16</v>
      </c>
      <c r="G2" s="8" t="s">
        <v>33</v>
      </c>
      <c r="H2" s="8" t="s">
        <v>108</v>
      </c>
      <c r="I2" s="15" t="s">
        <v>148</v>
      </c>
      <c r="J2" s="15" t="s">
        <v>161</v>
      </c>
      <c r="K2" s="16" t="s">
        <v>167</v>
      </c>
      <c r="L2" s="12" t="s">
        <v>21</v>
      </c>
      <c r="M2" s="13"/>
    </row>
    <row r="3" spans="1:13" ht="106.2">
      <c r="A3" s="9" t="s">
        <v>27</v>
      </c>
      <c r="B3" s="9">
        <v>2</v>
      </c>
      <c r="C3" s="8" t="s">
        <v>13</v>
      </c>
      <c r="D3" s="8" t="s">
        <v>74</v>
      </c>
      <c r="E3" s="8" t="s">
        <v>109</v>
      </c>
      <c r="F3" s="8" t="s">
        <v>30</v>
      </c>
      <c r="G3" s="8" t="s">
        <v>110</v>
      </c>
      <c r="H3" s="8" t="s">
        <v>111</v>
      </c>
      <c r="I3" s="15" t="s">
        <v>119</v>
      </c>
      <c r="J3" s="15" t="s">
        <v>162</v>
      </c>
      <c r="K3" s="16" t="s">
        <v>168</v>
      </c>
      <c r="L3" s="12" t="s">
        <v>18</v>
      </c>
      <c r="M3" s="13"/>
    </row>
    <row r="4" spans="1:13" ht="145.8">
      <c r="A4" s="8" t="s">
        <v>88</v>
      </c>
      <c r="B4" s="8">
        <v>3</v>
      </c>
      <c r="C4" s="8" t="s">
        <v>24</v>
      </c>
      <c r="D4" s="8" t="s">
        <v>195</v>
      </c>
      <c r="E4" s="8" t="s">
        <v>113</v>
      </c>
      <c r="F4" s="8" t="s">
        <v>40</v>
      </c>
      <c r="G4" s="92" t="s">
        <v>450</v>
      </c>
      <c r="H4" s="8" t="s">
        <v>114</v>
      </c>
      <c r="I4" s="15" t="s">
        <v>171</v>
      </c>
      <c r="J4" s="15" t="s">
        <v>163</v>
      </c>
      <c r="K4" s="16" t="s">
        <v>169</v>
      </c>
      <c r="L4" s="14" t="s">
        <v>89</v>
      </c>
      <c r="M4" s="13"/>
    </row>
    <row r="5" spans="1:13" ht="93">
      <c r="A5" s="9" t="s">
        <v>102</v>
      </c>
      <c r="B5" s="9">
        <v>4</v>
      </c>
      <c r="C5" s="8" t="s">
        <v>52</v>
      </c>
      <c r="D5" s="8" t="s">
        <v>82</v>
      </c>
      <c r="E5" s="8" t="s">
        <v>96</v>
      </c>
      <c r="F5" s="8" t="s">
        <v>79</v>
      </c>
      <c r="G5" s="8" t="s">
        <v>97</v>
      </c>
      <c r="H5" s="8" t="s">
        <v>116</v>
      </c>
      <c r="I5" s="15" t="s">
        <v>112</v>
      </c>
      <c r="J5" s="15" t="s">
        <v>83</v>
      </c>
      <c r="K5" s="16" t="s">
        <v>170</v>
      </c>
      <c r="L5" s="17"/>
      <c r="M5" s="13"/>
    </row>
    <row r="6" spans="1:13" ht="92.4">
      <c r="A6" s="8"/>
      <c r="C6" s="8" t="s">
        <v>28</v>
      </c>
      <c r="D6" s="8" t="s">
        <v>17</v>
      </c>
      <c r="E6" s="40" t="s">
        <v>157</v>
      </c>
      <c r="F6" s="8"/>
      <c r="G6" s="40" t="s">
        <v>247</v>
      </c>
      <c r="H6" s="8" t="s">
        <v>118</v>
      </c>
      <c r="I6" s="41" t="s">
        <v>125</v>
      </c>
      <c r="J6" s="15" t="s">
        <v>164</v>
      </c>
      <c r="K6" s="15" t="s">
        <v>164</v>
      </c>
      <c r="L6" s="17"/>
      <c r="M6" s="13"/>
    </row>
    <row r="7" spans="5:13" ht="52.8">
      <c r="E7" s="8" t="s">
        <v>15</v>
      </c>
      <c r="F7" s="10"/>
      <c r="G7" s="8" t="s">
        <v>57</v>
      </c>
      <c r="H7" s="8" t="s">
        <v>120</v>
      </c>
      <c r="I7" s="15" t="s">
        <v>184</v>
      </c>
      <c r="J7" s="16" t="s">
        <v>17</v>
      </c>
      <c r="K7" s="16" t="s">
        <v>17</v>
      </c>
      <c r="L7" s="17"/>
      <c r="M7" s="13"/>
    </row>
    <row r="8" spans="5:13" ht="66.6">
      <c r="E8" s="8" t="s">
        <v>122</v>
      </c>
      <c r="F8" s="10"/>
      <c r="G8" s="8" t="s">
        <v>123</v>
      </c>
      <c r="H8" s="8" t="s">
        <v>124</v>
      </c>
      <c r="I8" s="15" t="s">
        <v>173</v>
      </c>
      <c r="J8" s="16"/>
      <c r="K8" s="16"/>
      <c r="L8" s="17"/>
      <c r="M8" s="13"/>
    </row>
    <row r="9" spans="5:13" ht="40.2">
      <c r="E9" s="8" t="s">
        <v>158</v>
      </c>
      <c r="F9" s="10"/>
      <c r="G9" s="8" t="s">
        <v>126</v>
      </c>
      <c r="H9" s="8" t="s">
        <v>127</v>
      </c>
      <c r="I9" s="15" t="s">
        <v>115</v>
      </c>
      <c r="J9" s="16"/>
      <c r="K9" s="16"/>
      <c r="L9" s="17"/>
      <c r="M9" s="13"/>
    </row>
    <row r="10" spans="5:13" ht="53.4">
      <c r="E10" s="8" t="s">
        <v>129</v>
      </c>
      <c r="F10" s="10"/>
      <c r="G10" s="38" t="s">
        <v>200</v>
      </c>
      <c r="H10" s="8" t="s">
        <v>130</v>
      </c>
      <c r="I10" s="15" t="s">
        <v>134</v>
      </c>
      <c r="J10" s="16"/>
      <c r="K10" s="16"/>
      <c r="L10" s="17"/>
      <c r="M10" s="13"/>
    </row>
    <row r="11" spans="5:13" ht="66.6">
      <c r="E11" s="8" t="s">
        <v>131</v>
      </c>
      <c r="F11" s="10"/>
      <c r="G11" s="38" t="s">
        <v>201</v>
      </c>
      <c r="H11" s="8" t="s">
        <v>133</v>
      </c>
      <c r="I11" s="15" t="s">
        <v>143</v>
      </c>
      <c r="J11" s="16"/>
      <c r="K11" s="16"/>
      <c r="L11" s="17"/>
      <c r="M11" s="13"/>
    </row>
    <row r="12" spans="5:13" ht="53.4">
      <c r="E12" s="55" t="s">
        <v>279</v>
      </c>
      <c r="F12" s="10"/>
      <c r="G12" s="40" t="s">
        <v>243</v>
      </c>
      <c r="H12" s="8" t="s">
        <v>185</v>
      </c>
      <c r="I12" s="15" t="s">
        <v>117</v>
      </c>
      <c r="J12" s="16"/>
      <c r="K12" s="16"/>
      <c r="L12" s="17"/>
      <c r="M12" s="13"/>
    </row>
    <row r="13" spans="5:13" ht="93">
      <c r="E13" s="8" t="s">
        <v>135</v>
      </c>
      <c r="F13" s="10"/>
      <c r="G13" s="57" t="s">
        <v>292</v>
      </c>
      <c r="H13" s="8" t="s">
        <v>137</v>
      </c>
      <c r="I13" s="15" t="s">
        <v>121</v>
      </c>
      <c r="J13" s="16"/>
      <c r="K13" s="16"/>
      <c r="L13" s="17"/>
      <c r="M13" s="13"/>
    </row>
    <row r="14" spans="5:13" ht="53.4">
      <c r="E14" s="10" t="s">
        <v>206</v>
      </c>
      <c r="F14" s="10"/>
      <c r="G14" s="8" t="s">
        <v>132</v>
      </c>
      <c r="H14" s="8" t="s">
        <v>139</v>
      </c>
      <c r="I14" s="15" t="s">
        <v>128</v>
      </c>
      <c r="J14" s="16"/>
      <c r="K14" s="16"/>
      <c r="L14" s="17"/>
      <c r="M14" s="13"/>
    </row>
    <row r="15" spans="5:13" ht="40.2">
      <c r="E15" s="10" t="s">
        <v>17</v>
      </c>
      <c r="F15" s="10"/>
      <c r="G15" s="8" t="s">
        <v>83</v>
      </c>
      <c r="H15" s="8" t="s">
        <v>186</v>
      </c>
      <c r="I15" s="15" t="s">
        <v>145</v>
      </c>
      <c r="J15" s="16"/>
      <c r="K15" s="16"/>
      <c r="L15" s="17"/>
      <c r="M15" s="13"/>
    </row>
    <row r="16" spans="5:13" ht="106.2">
      <c r="E16" s="10"/>
      <c r="F16" s="10"/>
      <c r="G16" s="11" t="s">
        <v>17</v>
      </c>
      <c r="H16" s="8" t="s">
        <v>187</v>
      </c>
      <c r="I16" s="15" t="s">
        <v>136</v>
      </c>
      <c r="J16" s="16"/>
      <c r="K16" s="16"/>
      <c r="L16" s="17"/>
      <c r="M16" s="13"/>
    </row>
    <row r="17" spans="5:13" ht="53.4">
      <c r="E17" s="10"/>
      <c r="F17" s="10"/>
      <c r="G17" s="8" t="s">
        <v>182</v>
      </c>
      <c r="H17" s="8" t="s">
        <v>141</v>
      </c>
      <c r="I17" s="15" t="s">
        <v>140</v>
      </c>
      <c r="J17" s="16"/>
      <c r="K17" s="16"/>
      <c r="L17" s="17"/>
      <c r="M17" s="13"/>
    </row>
    <row r="18" spans="5:13" ht="53.4">
      <c r="E18" s="10"/>
      <c r="F18" s="10"/>
      <c r="G18" s="10"/>
      <c r="H18" s="8" t="s">
        <v>142</v>
      </c>
      <c r="I18" s="15" t="s">
        <v>138</v>
      </c>
      <c r="J18" s="16"/>
      <c r="K18" s="16"/>
      <c r="L18" s="17"/>
      <c r="M18" s="13"/>
    </row>
    <row r="19" spans="5:13" ht="79.8">
      <c r="E19" s="10"/>
      <c r="F19" s="10"/>
      <c r="G19" s="10"/>
      <c r="H19" s="8" t="s">
        <v>144</v>
      </c>
      <c r="I19" s="15" t="s">
        <v>174</v>
      </c>
      <c r="J19" s="16"/>
      <c r="K19" s="16"/>
      <c r="L19" s="17"/>
      <c r="M19" s="13"/>
    </row>
    <row r="20" spans="5:13" ht="40.2">
      <c r="E20" s="10"/>
      <c r="F20" s="10"/>
      <c r="G20" s="10"/>
      <c r="H20" s="8" t="s">
        <v>146</v>
      </c>
      <c r="I20" s="15" t="s">
        <v>152</v>
      </c>
      <c r="J20" s="16"/>
      <c r="K20" s="16"/>
      <c r="L20" s="17"/>
      <c r="M20" s="13"/>
    </row>
    <row r="21" spans="5:13" ht="93">
      <c r="E21" s="10"/>
      <c r="F21" s="10"/>
      <c r="G21" s="10"/>
      <c r="H21" s="8" t="s">
        <v>147</v>
      </c>
      <c r="I21" s="15" t="s">
        <v>154</v>
      </c>
      <c r="J21" s="16"/>
      <c r="K21" s="16"/>
      <c r="L21" s="17"/>
      <c r="M21" s="13"/>
    </row>
    <row r="22" spans="5:13" ht="53.4">
      <c r="E22" s="10"/>
      <c r="F22" s="10"/>
      <c r="G22" s="10"/>
      <c r="H22" s="8" t="s">
        <v>149</v>
      </c>
      <c r="I22" s="15" t="s">
        <v>83</v>
      </c>
      <c r="J22" s="16"/>
      <c r="K22" s="16"/>
      <c r="L22" s="17"/>
      <c r="M22" s="13"/>
    </row>
    <row r="23" spans="5:13" ht="40.2">
      <c r="E23" s="10"/>
      <c r="F23" s="10"/>
      <c r="G23" s="10"/>
      <c r="H23" s="8" t="s">
        <v>150</v>
      </c>
      <c r="I23" s="15" t="s">
        <v>17</v>
      </c>
      <c r="J23" s="16"/>
      <c r="K23" s="16"/>
      <c r="L23" s="17"/>
      <c r="M23" s="13"/>
    </row>
    <row r="24" spans="5:13" ht="53.4">
      <c r="E24" s="10"/>
      <c r="F24" s="10"/>
      <c r="G24" s="10"/>
      <c r="H24" s="8" t="s">
        <v>151</v>
      </c>
      <c r="I24" s="61" t="s">
        <v>345</v>
      </c>
      <c r="J24" s="16"/>
      <c r="K24" s="16"/>
      <c r="L24" s="17"/>
      <c r="M24" s="13"/>
    </row>
    <row r="25" spans="5:13" ht="27">
      <c r="E25" s="10"/>
      <c r="F25" s="10"/>
      <c r="G25" s="10"/>
      <c r="H25" s="8" t="s">
        <v>153</v>
      </c>
      <c r="I25" s="17"/>
      <c r="J25" s="16"/>
      <c r="K25" s="16"/>
      <c r="L25" s="17"/>
      <c r="M25" s="13"/>
    </row>
    <row r="26" spans="5:13" ht="40.2">
      <c r="E26" s="10"/>
      <c r="F26" s="10"/>
      <c r="G26" s="10"/>
      <c r="H26" s="8" t="s">
        <v>155</v>
      </c>
      <c r="I26" s="13"/>
      <c r="J26" s="16"/>
      <c r="K26" s="16"/>
      <c r="L26" s="17"/>
      <c r="M26" s="13"/>
    </row>
    <row r="27" spans="5:13" ht="15.75">
      <c r="E27" s="10"/>
      <c r="F27" s="10"/>
      <c r="G27" s="10"/>
      <c r="H27" s="8" t="s">
        <v>28</v>
      </c>
      <c r="I27" s="13"/>
      <c r="J27" s="17"/>
      <c r="K27" s="16"/>
      <c r="L27" s="17"/>
      <c r="M27" s="13"/>
    </row>
    <row r="28" spans="6:13" ht="15.75">
      <c r="F28" s="10"/>
      <c r="G28" s="10"/>
      <c r="H28" s="8"/>
      <c r="I28" s="13"/>
      <c r="J28" s="17"/>
      <c r="K28" s="16"/>
      <c r="L28" s="17"/>
      <c r="M28" s="13"/>
    </row>
    <row r="29" spans="6:13" ht="15.75">
      <c r="F29" s="10"/>
      <c r="G29" s="10"/>
      <c r="I29" s="13"/>
      <c r="J29" s="17"/>
      <c r="K29" s="16"/>
      <c r="L29" s="17"/>
      <c r="M29" s="13"/>
    </row>
    <row r="30" spans="7:13" ht="15.75">
      <c r="G30" s="10"/>
      <c r="J30" s="13"/>
      <c r="K30" s="17"/>
      <c r="L30" s="17"/>
      <c r="M30" s="13"/>
    </row>
    <row r="31" spans="7:13" ht="15.75">
      <c r="G31" s="10"/>
      <c r="J31" s="13"/>
      <c r="K31" s="13"/>
      <c r="L31" s="13"/>
      <c r="M31" s="13"/>
    </row>
    <row r="32" spans="7:13" ht="15.75">
      <c r="G32" s="10"/>
      <c r="J32" s="13"/>
      <c r="K32" s="13"/>
      <c r="L32" s="13"/>
      <c r="M32" s="13"/>
    </row>
    <row r="33" spans="10:13" ht="15.75">
      <c r="J33" s="13"/>
      <c r="K33" s="13"/>
      <c r="L33" s="13"/>
      <c r="M33" s="13"/>
    </row>
    <row r="34" spans="11:13" ht="15.75">
      <c r="K34" s="13"/>
      <c r="L34" s="13"/>
      <c r="M34" s="13"/>
    </row>
  </sheetData>
  <sheetProtection sheet="1" objects="1" scenarios="1"/>
  <printOptions/>
  <pageMargins left="0.7" right="0.7" top="0.75" bottom="0.75" header="0.3" footer="0.3"/>
  <pageSetup horizontalDpi="300" verticalDpi="300" orientation="portrait" paperSize="9"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W68"/>
  <sheetViews>
    <sheetView zoomScale="70" zoomScaleNormal="70" workbookViewId="0" topLeftCell="A1">
      <pane xSplit="2" ySplit="2" topLeftCell="C3" activePane="bottomRight" state="frozen"/>
      <selection pane="topRight" activeCell="B1" sqref="B1"/>
      <selection pane="bottomLeft" activeCell="A3" sqref="A3"/>
      <selection pane="bottomRight" activeCell="A1" sqref="A1:XFD1048576"/>
    </sheetView>
  </sheetViews>
  <sheetFormatPr defaultColWidth="9.00390625" defaultRowHeight="15.75"/>
  <cols>
    <col min="1" max="1" width="13.625" style="0" customWidth="1"/>
    <col min="2" max="2" width="11.00390625" style="0" customWidth="1"/>
    <col min="3" max="3" width="12.25390625" style="0" customWidth="1"/>
    <col min="8" max="8" width="14.125" style="0" customWidth="1"/>
    <col min="23" max="23" width="33.75390625" style="0" bestFit="1" customWidth="1"/>
  </cols>
  <sheetData>
    <row r="1" spans="1:14" ht="48" customHeight="1">
      <c r="A1" s="107"/>
      <c r="B1" s="107"/>
      <c r="C1" s="187" t="s">
        <v>475</v>
      </c>
      <c r="D1" s="188"/>
      <c r="E1" s="188"/>
      <c r="F1" s="188"/>
      <c r="G1" s="188"/>
      <c r="H1" s="188"/>
      <c r="I1" s="188"/>
      <c r="J1" s="188"/>
      <c r="K1" s="188"/>
      <c r="L1" s="188"/>
      <c r="M1" s="188"/>
      <c r="N1" s="188"/>
    </row>
    <row r="2" spans="1:23" ht="66.6">
      <c r="A2" s="108" t="s">
        <v>447</v>
      </c>
      <c r="B2" s="108" t="s">
        <v>2</v>
      </c>
      <c r="C2" s="109" t="s">
        <v>33</v>
      </c>
      <c r="D2" s="109" t="s">
        <v>96</v>
      </c>
      <c r="E2" s="109" t="s">
        <v>357</v>
      </c>
      <c r="F2" s="110" t="s">
        <v>97</v>
      </c>
      <c r="G2" s="110" t="s">
        <v>57</v>
      </c>
      <c r="H2" s="110" t="s">
        <v>243</v>
      </c>
      <c r="I2" s="110" t="s">
        <v>247</v>
      </c>
      <c r="J2" s="110" t="s">
        <v>123</v>
      </c>
      <c r="K2" s="110" t="s">
        <v>126</v>
      </c>
      <c r="L2" s="110" t="s">
        <v>132</v>
      </c>
      <c r="M2" s="110" t="s">
        <v>182</v>
      </c>
      <c r="N2" s="110" t="s">
        <v>17</v>
      </c>
      <c r="O2" s="8" t="s">
        <v>177</v>
      </c>
      <c r="P2" s="8" t="s">
        <v>178</v>
      </c>
      <c r="Q2" s="8" t="s">
        <v>179</v>
      </c>
      <c r="T2" s="65" t="s">
        <v>356</v>
      </c>
      <c r="W2" s="47" t="s">
        <v>508</v>
      </c>
    </row>
    <row r="3" spans="1:21" ht="93">
      <c r="A3" s="56" t="s">
        <v>11</v>
      </c>
      <c r="B3" s="22" t="s">
        <v>12</v>
      </c>
      <c r="C3" s="52" t="str">
        <f>IF(ISNUMBER(SEARCH("Literature",'Data extraction-synthesis'!K2)),"X","")</f>
        <v/>
      </c>
      <c r="D3" s="52" t="str">
        <f>IF(ISNUMBER(SEARCH("Interviews with experts",'Data extraction-synthesis'!K2)),"X","")</f>
        <v/>
      </c>
      <c r="E3" s="52" t="str">
        <f>IF(ISNUMBER(SEARCH("Survey with experts/Expert opinion",'Data extraction-synthesis'!K2)),"X","")</f>
        <v/>
      </c>
      <c r="F3" s="52" t="str">
        <f>IF(ISNUMBER(SEARCH("Ethnographic interviews",'Data extraction-synthesis'!K2)),"X","")</f>
        <v/>
      </c>
      <c r="G3" s="52" t="str">
        <f>IF(ISNUMBER(SEARCH("Reports",'Data extraction-synthesis'!K2)),"X","")</f>
        <v/>
      </c>
      <c r="H3" s="52" t="str">
        <f>IF(ISNUMBER(SEARCH("Questionnaire provided to expert",'Data extraction-synthesis'!K2)),"X","")</f>
        <v/>
      </c>
      <c r="I3" s="52" t="str">
        <f>IF(ISNUMBER(SEARCH("Field research",'Data extraction-synthesis'!K2)),"X","")</f>
        <v/>
      </c>
      <c r="J3" s="52" t="str">
        <f>IF(ISNUMBER(SEARCH("Policies",'Data extraction-synthesis'!K2)),"X","")</f>
        <v/>
      </c>
      <c r="K3" s="52" t="str">
        <f>IF(ISNUMBER(SEARCH("Websites of developers",'Data extraction-synthesis'!K2)),"X","")</f>
        <v/>
      </c>
      <c r="L3" s="52" t="str">
        <f>IF(ISNUMBER(SEARCH("Data available",'Data extraction-synthesis'!K2)),"X","")</f>
        <v/>
      </c>
      <c r="M3" s="52" t="str">
        <f>IF(ISNUMBER(SEARCH("No scoping phase reported",'Data extraction-synthesis'!K2)),"X","")</f>
        <v>X</v>
      </c>
      <c r="N3" s="52" t="str">
        <f>IF(ISNUMBER(SEARCH("N/A",'Data extraction-synthesis'!K2)),"X","")</f>
        <v/>
      </c>
      <c r="O3" s="9" t="str">
        <f aca="true" t="shared" si="0" ref="O3:O46">IF(OR(N3="X",M3="X"),"N/A",IF((COUNTIF(C3:N3,"X"))&gt;1,"YES","NO"))</f>
        <v>N/A</v>
      </c>
      <c r="P3" s="45">
        <f>COUNTIF(O3:O46,"NO")</f>
        <v>15</v>
      </c>
      <c r="Q3" s="45">
        <f>COUNTIF(O3:O46,"YES")</f>
        <v>7</v>
      </c>
      <c r="R3" s="44"/>
      <c r="S3" s="44"/>
      <c r="U3" s="44"/>
    </row>
    <row r="4" spans="1:23" ht="132.6">
      <c r="A4" s="56" t="s">
        <v>19</v>
      </c>
      <c r="B4" s="22" t="s">
        <v>20</v>
      </c>
      <c r="C4" s="52" t="str">
        <f>IF(ISNUMBER(SEARCH("Literature",'Data extraction-synthesis'!K3)),"X","")</f>
        <v>X</v>
      </c>
      <c r="D4" s="52" t="str">
        <f>IF(ISNUMBER(SEARCH("Interviews with experts",'Data extraction-synthesis'!K3)),"X","")</f>
        <v/>
      </c>
      <c r="E4" s="52" t="str">
        <f>IF(ISNUMBER(SEARCH("Survey with experts/Expert opinion",'Data extraction-synthesis'!K3)),"X","")</f>
        <v>X</v>
      </c>
      <c r="F4" s="52" t="str">
        <f>IF(ISNUMBER(SEARCH("Ethnographic interviews",'Data extraction-synthesis'!K3)),"X","")</f>
        <v/>
      </c>
      <c r="G4" s="52" t="str">
        <f>IF(ISNUMBER(SEARCH("Reports",'Data extraction-synthesis'!K3)),"X","")</f>
        <v/>
      </c>
      <c r="H4" s="52" t="str">
        <f>IF(ISNUMBER(SEARCH("Questionnaire provided to expert",'Data extraction-synthesis'!K3)),"X","")</f>
        <v/>
      </c>
      <c r="I4" s="52" t="str">
        <f>IF(ISNUMBER(SEARCH("Field research",'Data extraction-synthesis'!K3)),"X","")</f>
        <v/>
      </c>
      <c r="J4" s="52" t="str">
        <f>IF(ISNUMBER(SEARCH("Policies",'Data extraction-synthesis'!K3)),"X","")</f>
        <v/>
      </c>
      <c r="K4" s="52" t="str">
        <f>IF(ISNUMBER(SEARCH("Websites of developers",'Data extraction-synthesis'!K3)),"X","")</f>
        <v/>
      </c>
      <c r="L4" s="52" t="str">
        <f>IF(ISNUMBER(SEARCH("Data available",'Data extraction-synthesis'!K3)),"X","")</f>
        <v>X</v>
      </c>
      <c r="M4" s="52" t="str">
        <f>IF(ISNUMBER(SEARCH("No scoping phase reported",'Data extraction-synthesis'!K3)),"X","")</f>
        <v/>
      </c>
      <c r="N4" s="52" t="str">
        <f>IF(ISNUMBER(SEARCH("N/A",'Data extraction-synthesis'!K3)),"X","")</f>
        <v/>
      </c>
      <c r="O4" s="9" t="str">
        <f t="shared" si="0"/>
        <v>YES</v>
      </c>
      <c r="P4">
        <f>+COUNTIF(O3:O46,"N/A")</f>
        <v>22</v>
      </c>
      <c r="Q4">
        <f>44-P4</f>
        <v>22</v>
      </c>
      <c r="R4" s="44"/>
      <c r="U4" s="44"/>
      <c r="W4" t="s">
        <v>499</v>
      </c>
    </row>
    <row r="5" spans="1:23" ht="79.8">
      <c r="A5" s="56" t="s">
        <v>22</v>
      </c>
      <c r="B5" s="22" t="s">
        <v>23</v>
      </c>
      <c r="C5" s="52" t="str">
        <f>IF(ISNUMBER(SEARCH("Literature",'Data extraction-synthesis'!K4)),"X","")</f>
        <v>X</v>
      </c>
      <c r="D5" s="91" t="str">
        <f>IF(ISNUMBER(SEARCH("Interviews with experts",'Data extraction-synthesis'!K4)),"X","")</f>
        <v/>
      </c>
      <c r="E5" s="52" t="str">
        <f>IF(ISNUMBER(SEARCH("Survey with experts/Expert opinion",'Data extraction-synthesis'!K4)),"X","")</f>
        <v>X</v>
      </c>
      <c r="F5" s="52" t="str">
        <f>IF(ISNUMBER(SEARCH("Ethnographic interviews",'Data extraction-synthesis'!K4)),"X","")</f>
        <v/>
      </c>
      <c r="G5" s="52" t="str">
        <f>IF(ISNUMBER(SEARCH("Reports",'Data extraction-synthesis'!K4)),"X","")</f>
        <v>X</v>
      </c>
      <c r="H5" s="52" t="str">
        <f>IF(ISNUMBER(SEARCH("Questionnaire provided to expert",'Data extraction-synthesis'!K4)),"X","")</f>
        <v/>
      </c>
      <c r="I5" s="52" t="str">
        <f>IF(ISNUMBER(SEARCH("Field research",'Data extraction-synthesis'!K4)),"X","")</f>
        <v/>
      </c>
      <c r="J5" s="52" t="str">
        <f>IF(ISNUMBER(SEARCH("Policies",'Data extraction-synthesis'!K4)),"X","")</f>
        <v/>
      </c>
      <c r="K5" s="52" t="str">
        <f>IF(ISNUMBER(SEARCH("Websites of developers",'Data extraction-synthesis'!K4)),"X","")</f>
        <v/>
      </c>
      <c r="L5" s="52" t="str">
        <f>IF(ISNUMBER(SEARCH("Data available",'Data extraction-synthesis'!K4)),"X","")</f>
        <v/>
      </c>
      <c r="M5" s="52" t="str">
        <f>IF(ISNUMBER(SEARCH("No scoping phase reported",'Data extraction-synthesis'!K4)),"X","")</f>
        <v/>
      </c>
      <c r="N5" s="52" t="str">
        <f>IF(ISNUMBER(SEARCH("N/A",'Data extraction-synthesis'!K4)),"X","")</f>
        <v/>
      </c>
      <c r="O5" s="9" t="str">
        <f t="shared" si="0"/>
        <v>YES</v>
      </c>
      <c r="W5" s="44" t="s">
        <v>500</v>
      </c>
    </row>
    <row r="6" spans="1:15" ht="145.8">
      <c r="A6" s="56" t="s">
        <v>25</v>
      </c>
      <c r="B6" s="22" t="s">
        <v>26</v>
      </c>
      <c r="C6" s="52" t="str">
        <f>IF(ISNUMBER(SEARCH("Literature",'Data extraction-synthesis'!K5)),"X","")</f>
        <v/>
      </c>
      <c r="D6" s="52" t="str">
        <f>IF(ISNUMBER(SEARCH("Interviews with experts",'Data extraction-synthesis'!K5)),"X","")</f>
        <v/>
      </c>
      <c r="E6" s="52" t="str">
        <f>IF(ISNUMBER(SEARCH("Survey with experts/Expert opinion",'Data extraction-synthesis'!K5)),"X","")</f>
        <v/>
      </c>
      <c r="F6" s="52" t="str">
        <f>IF(ISNUMBER(SEARCH("Ethnographic interviews",'Data extraction-synthesis'!K5)),"X","")</f>
        <v/>
      </c>
      <c r="G6" s="52" t="str">
        <f>IF(ISNUMBER(SEARCH("Reports",'Data extraction-synthesis'!K5)),"X","")</f>
        <v/>
      </c>
      <c r="H6" s="52" t="str">
        <f>IF(ISNUMBER(SEARCH("Questionnaire provided to expert",'Data extraction-synthesis'!K5)),"X","")</f>
        <v/>
      </c>
      <c r="I6" s="52" t="str">
        <f>IF(ISNUMBER(SEARCH("Field research",'Data extraction-synthesis'!K5)),"X","")</f>
        <v/>
      </c>
      <c r="J6" s="52" t="str">
        <f>IF(ISNUMBER(SEARCH("Policies",'Data extraction-synthesis'!K5)),"X","")</f>
        <v/>
      </c>
      <c r="K6" s="52" t="str">
        <f>IF(ISNUMBER(SEARCH("Websites of developers",'Data extraction-synthesis'!K5)),"X","")</f>
        <v/>
      </c>
      <c r="L6" s="52" t="str">
        <f>IF(ISNUMBER(SEARCH("Data available",'Data extraction-synthesis'!K5)),"X","")</f>
        <v/>
      </c>
      <c r="M6" s="52" t="str">
        <f>IF(ISNUMBER(SEARCH("No scoping phase reported",'Data extraction-synthesis'!K5)),"X","")</f>
        <v>X</v>
      </c>
      <c r="N6" s="52" t="str">
        <f>IF(ISNUMBER(SEARCH("N/A",'Data extraction-synthesis'!K5)),"X","")</f>
        <v/>
      </c>
      <c r="O6" s="9" t="str">
        <f t="shared" si="0"/>
        <v>N/A</v>
      </c>
    </row>
    <row r="7" spans="1:20" ht="172.2">
      <c r="A7" s="56" t="s">
        <v>31</v>
      </c>
      <c r="B7" s="22" t="s">
        <v>32</v>
      </c>
      <c r="C7" s="52" t="str">
        <f>IF(ISNUMBER(SEARCH("Literature",'Data extraction-synthesis'!K6)),"X","")</f>
        <v/>
      </c>
      <c r="D7" s="52" t="str">
        <f>IF(ISNUMBER(SEARCH("Interviews with experts",'Data extraction-synthesis'!K6)),"X","")</f>
        <v/>
      </c>
      <c r="E7" s="101" t="str">
        <f>IF(ISNUMBER(SEARCH("Survey with experts/Expert opinion",'Data extraction-synthesis'!K6)),"X","")</f>
        <v>X</v>
      </c>
      <c r="F7" s="52" t="str">
        <f>IF(ISNUMBER(SEARCH("Ethnographic interviews",'Data extraction-synthesis'!K6)),"X","")</f>
        <v/>
      </c>
      <c r="G7" s="52" t="str">
        <f>IF(ISNUMBER(SEARCH("Reports",'Data extraction-synthesis'!K6)),"X","")</f>
        <v/>
      </c>
      <c r="H7" s="52" t="str">
        <f>IF(ISNUMBER(SEARCH("Questionnaire provided to expert",'Data extraction-synthesis'!K6)),"X","")</f>
        <v/>
      </c>
      <c r="I7" s="52" t="str">
        <f>IF(ISNUMBER(SEARCH("Field research",'Data extraction-synthesis'!K6)),"X","")</f>
        <v/>
      </c>
      <c r="J7" s="52" t="str">
        <f>IF(ISNUMBER(SEARCH("Policies",'Data extraction-synthesis'!K6)),"X","")</f>
        <v/>
      </c>
      <c r="K7" s="52" t="str">
        <f>IF(ISNUMBER(SEARCH("Websites of developers",'Data extraction-synthesis'!K6)),"X","")</f>
        <v/>
      </c>
      <c r="L7" s="52" t="str">
        <f>IF(ISNUMBER(SEARCH("Data available",'Data extraction-synthesis'!K6)),"X","")</f>
        <v/>
      </c>
      <c r="M7" s="52" t="str">
        <f>IF(ISNUMBER(SEARCH("No scoping phase reported",'Data extraction-synthesis'!K6)),"X","")</f>
        <v/>
      </c>
      <c r="N7" s="52" t="str">
        <f>IF(ISNUMBER(SEARCH("N/A",'Data extraction-synthesis'!K6)),"X","")</f>
        <v/>
      </c>
      <c r="O7" s="9" t="str">
        <f t="shared" si="0"/>
        <v>NO</v>
      </c>
      <c r="T7" t="s">
        <v>357</v>
      </c>
    </row>
    <row r="8" spans="1:23" ht="251.4">
      <c r="A8" s="56" t="s">
        <v>34</v>
      </c>
      <c r="B8" s="22" t="s">
        <v>35</v>
      </c>
      <c r="C8" s="52" t="str">
        <f>IF(ISNUMBER(SEARCH("Literature",'Data extraction-synthesis'!K7)),"X","")</f>
        <v>X</v>
      </c>
      <c r="D8" s="52" t="str">
        <f>IF(ISNUMBER(SEARCH("Interviews with experts",'Data extraction-synthesis'!K7)),"X","")</f>
        <v/>
      </c>
      <c r="E8" s="52" t="str">
        <f>IF(ISNUMBER(SEARCH("Survey with experts/Expert opinion",'Data extraction-synthesis'!K7)),"X","")</f>
        <v/>
      </c>
      <c r="F8" s="52" t="str">
        <f>IF(ISNUMBER(SEARCH("Ethnographic interviews",'Data extraction-synthesis'!K7)),"X","")</f>
        <v/>
      </c>
      <c r="G8" s="52" t="str">
        <f>IF(ISNUMBER(SEARCH("Reports",'Data extraction-synthesis'!K7)),"X","")</f>
        <v/>
      </c>
      <c r="H8" s="52" t="str">
        <f>IF(ISNUMBER(SEARCH("Questionnaire provided to expert",'Data extraction-synthesis'!K7)),"X","")</f>
        <v/>
      </c>
      <c r="I8" s="52" t="str">
        <f>IF(ISNUMBER(SEARCH("Field research",'Data extraction-synthesis'!K7)),"X","")</f>
        <v/>
      </c>
      <c r="J8" s="52" t="str">
        <f>IF(ISNUMBER(SEARCH("Policies",'Data extraction-synthesis'!K7)),"X","")</f>
        <v/>
      </c>
      <c r="K8" s="52" t="str">
        <f>IF(ISNUMBER(SEARCH("Websites of developers",'Data extraction-synthesis'!K7)),"X","")</f>
        <v/>
      </c>
      <c r="L8" s="52" t="str">
        <f>IF(ISNUMBER(SEARCH("Data available",'Data extraction-synthesis'!K7)),"X","")</f>
        <v/>
      </c>
      <c r="M8" s="52" t="str">
        <f>IF(ISNUMBER(SEARCH("No scoping phase reported",'Data extraction-synthesis'!K7)),"X","")</f>
        <v/>
      </c>
      <c r="N8" s="52" t="str">
        <f>IF(ISNUMBER(SEARCH("N/A",'Data extraction-synthesis'!K7)),"X","")</f>
        <v/>
      </c>
      <c r="O8" s="9" t="str">
        <f t="shared" si="0"/>
        <v>NO</v>
      </c>
      <c r="T8" t="s">
        <v>29</v>
      </c>
      <c r="W8" t="s">
        <v>503</v>
      </c>
    </row>
    <row r="9" spans="1:20" ht="145.8">
      <c r="A9" s="56" t="s">
        <v>58</v>
      </c>
      <c r="B9" s="22" t="s">
        <v>37</v>
      </c>
      <c r="C9" s="52" t="str">
        <f>IF(ISNUMBER(SEARCH("Literature",'Data extraction-synthesis'!K8)),"X","")</f>
        <v/>
      </c>
      <c r="D9" s="52" t="str">
        <f>IF(ISNUMBER(SEARCH("Interviews with experts",'Data extraction-synthesis'!K8)),"X","")</f>
        <v/>
      </c>
      <c r="E9" s="52" t="str">
        <f>IF(ISNUMBER(SEARCH("Survey with experts/Expert opinion",'Data extraction-synthesis'!K8)),"X","")</f>
        <v>X</v>
      </c>
      <c r="F9" s="52" t="str">
        <f>IF(ISNUMBER(SEARCH("Ethnographic interviews",'Data extraction-synthesis'!K8)),"X","")</f>
        <v/>
      </c>
      <c r="G9" s="52" t="str">
        <f>IF(ISNUMBER(SEARCH("Reports",'Data extraction-synthesis'!K8)),"X","")</f>
        <v/>
      </c>
      <c r="H9" s="52" t="str">
        <f>IF(ISNUMBER(SEARCH("Questionnaire provided to expert",'Data extraction-synthesis'!K8)),"X","")</f>
        <v/>
      </c>
      <c r="I9" s="52" t="str">
        <f>IF(ISNUMBER(SEARCH("Field research",'Data extraction-synthesis'!K8)),"X","")</f>
        <v/>
      </c>
      <c r="J9" s="52" t="str">
        <f>IF(ISNUMBER(SEARCH("Policies",'Data extraction-synthesis'!K8)),"X","")</f>
        <v/>
      </c>
      <c r="K9" s="52" t="str">
        <f>IF(ISNUMBER(SEARCH("Websites of developers",'Data extraction-synthesis'!K8)),"X","")</f>
        <v/>
      </c>
      <c r="L9" s="52" t="str">
        <f>IF(ISNUMBER(SEARCH("Data available",'Data extraction-synthesis'!K8)),"X","")</f>
        <v/>
      </c>
      <c r="M9" s="52" t="str">
        <f>IF(ISNUMBER(SEARCH("No scoping phase reported",'Data extraction-synthesis'!K8)),"X","")</f>
        <v/>
      </c>
      <c r="N9" s="52" t="str">
        <f>IF(ISNUMBER(SEARCH("N/A",'Data extraction-synthesis'!K8)),"X","")</f>
        <v/>
      </c>
      <c r="O9" s="9" t="str">
        <f t="shared" si="0"/>
        <v>NO</v>
      </c>
      <c r="T9" t="s">
        <v>357</v>
      </c>
    </row>
    <row r="10" spans="1:20" ht="211.8">
      <c r="A10" s="56" t="s">
        <v>38</v>
      </c>
      <c r="B10" s="22" t="s">
        <v>39</v>
      </c>
      <c r="C10" s="52" t="str">
        <f>IF(ISNUMBER(SEARCH("Literature",'Data extraction-synthesis'!K9)),"X","")</f>
        <v/>
      </c>
      <c r="D10" s="52" t="str">
        <f>IF(ISNUMBER(SEARCH("Interviews with experts",'Data extraction-synthesis'!K9)),"X","")</f>
        <v/>
      </c>
      <c r="E10" s="52" t="str">
        <f>IF(ISNUMBER(SEARCH("Survey with experts/Expert opinion",'Data extraction-synthesis'!K9)),"X","")</f>
        <v>X</v>
      </c>
      <c r="F10" s="52" t="str">
        <f>IF(ISNUMBER(SEARCH("Ethnographic interviews",'Data extraction-synthesis'!K9)),"X","")</f>
        <v/>
      </c>
      <c r="G10" s="52" t="str">
        <f>IF(ISNUMBER(SEARCH("Reports",'Data extraction-synthesis'!K9)),"X","")</f>
        <v/>
      </c>
      <c r="H10" s="52" t="str">
        <f>IF(ISNUMBER(SEARCH("Questionnaire provided to expert",'Data extraction-synthesis'!K9)),"X","")</f>
        <v/>
      </c>
      <c r="I10" s="52" t="str">
        <f>IF(ISNUMBER(SEARCH("Field research",'Data extraction-synthesis'!K9)),"X","")</f>
        <v/>
      </c>
      <c r="J10" s="52" t="str">
        <f>IF(ISNUMBER(SEARCH("Policies",'Data extraction-synthesis'!K9)),"X","")</f>
        <v/>
      </c>
      <c r="K10" s="52" t="str">
        <f>IF(ISNUMBER(SEARCH("Websites of developers",'Data extraction-synthesis'!K9)),"X","")</f>
        <v/>
      </c>
      <c r="L10" s="52" t="str">
        <f>IF(ISNUMBER(SEARCH("Data available",'Data extraction-synthesis'!K9)),"X","")</f>
        <v/>
      </c>
      <c r="M10" s="52" t="str">
        <f>IF(ISNUMBER(SEARCH("No scoping phase reported",'Data extraction-synthesis'!K9)),"X","")</f>
        <v/>
      </c>
      <c r="N10" s="52" t="str">
        <f>IF(ISNUMBER(SEARCH("N/A",'Data extraction-synthesis'!K9)),"X","")</f>
        <v/>
      </c>
      <c r="O10" s="9" t="str">
        <f t="shared" si="0"/>
        <v>NO</v>
      </c>
      <c r="T10" t="s">
        <v>357</v>
      </c>
    </row>
    <row r="11" spans="1:23" ht="145.8">
      <c r="A11" s="56" t="s">
        <v>41</v>
      </c>
      <c r="B11" s="22" t="s">
        <v>42</v>
      </c>
      <c r="C11" s="52" t="str">
        <f>IF(ISNUMBER(SEARCH("Literature",'Data extraction-synthesis'!K10)),"X","")</f>
        <v>X</v>
      </c>
      <c r="D11" s="52" t="str">
        <f>IF(ISNUMBER(SEARCH("Interviews with experts",'Data extraction-synthesis'!K10)),"X","")</f>
        <v/>
      </c>
      <c r="E11" s="52" t="str">
        <f>IF(ISNUMBER(SEARCH("Survey with experts/Expert opinion",'Data extraction-synthesis'!K10)),"X","")</f>
        <v>X</v>
      </c>
      <c r="F11" s="52" t="str">
        <f>IF(ISNUMBER(SEARCH("Ethnographic interviews",'Data extraction-synthesis'!K10)),"X","")</f>
        <v/>
      </c>
      <c r="G11" s="52" t="str">
        <f>IF(ISNUMBER(SEARCH("Reports",'Data extraction-synthesis'!K10)),"X","")</f>
        <v/>
      </c>
      <c r="H11" s="52" t="str">
        <f>IF(ISNUMBER(SEARCH("Questionnaire provided to expert",'Data extraction-synthesis'!K10)),"X","")</f>
        <v/>
      </c>
      <c r="I11" s="52" t="str">
        <f>IF(ISNUMBER(SEARCH("Field research",'Data extraction-synthesis'!K10)),"X","")</f>
        <v/>
      </c>
      <c r="J11" s="52" t="str">
        <f>IF(ISNUMBER(SEARCH("Policies",'Data extraction-synthesis'!K10)),"X","")</f>
        <v/>
      </c>
      <c r="K11" s="52" t="str">
        <f>IF(ISNUMBER(SEARCH("Websites of developers",'Data extraction-synthesis'!K10)),"X","")</f>
        <v/>
      </c>
      <c r="L11" s="52" t="str">
        <f>IF(ISNUMBER(SEARCH("Data available",'Data extraction-synthesis'!K10)),"X","")</f>
        <v/>
      </c>
      <c r="M11" s="52" t="str">
        <f>IF(ISNUMBER(SEARCH("No scoping phase reported",'Data extraction-synthesis'!K10)),"X","")</f>
        <v/>
      </c>
      <c r="N11" s="52" t="str">
        <f>IF(ISNUMBER(SEARCH("N/A",'Data extraction-synthesis'!K10)),"X","")</f>
        <v/>
      </c>
      <c r="O11" s="9" t="str">
        <f t="shared" si="0"/>
        <v>YES</v>
      </c>
      <c r="W11" t="s">
        <v>507</v>
      </c>
    </row>
    <row r="12" spans="1:23" ht="119.4">
      <c r="A12" s="56" t="s">
        <v>43</v>
      </c>
      <c r="B12" s="22" t="s">
        <v>44</v>
      </c>
      <c r="C12" s="52" t="str">
        <f>IF(ISNUMBER(SEARCH("Literature",'Data extraction-synthesis'!K11)),"X","")</f>
        <v>X</v>
      </c>
      <c r="D12" s="52" t="str">
        <f>IF(ISNUMBER(SEARCH("Interviews with experts",'Data extraction-synthesis'!K11)),"X","")</f>
        <v/>
      </c>
      <c r="E12" s="52" t="str">
        <f>IF(ISNUMBER(SEARCH("Survey with experts/Expert opinion",'Data extraction-synthesis'!K11)),"X","")</f>
        <v/>
      </c>
      <c r="F12" s="52" t="str">
        <f>IF(ISNUMBER(SEARCH("Ethnographic interviews",'Data extraction-synthesis'!K11)),"X","")</f>
        <v/>
      </c>
      <c r="G12" s="52" t="str">
        <f>IF(ISNUMBER(SEARCH("Reports",'Data extraction-synthesis'!K11)),"X","")</f>
        <v/>
      </c>
      <c r="H12" s="52" t="str">
        <f>IF(ISNUMBER(SEARCH("Questionnaire provided to expert",'Data extraction-synthesis'!K11)),"X","")</f>
        <v/>
      </c>
      <c r="I12" s="52" t="str">
        <f>IF(ISNUMBER(SEARCH("Field research",'Data extraction-synthesis'!K11)),"X","")</f>
        <v/>
      </c>
      <c r="J12" s="52" t="str">
        <f>IF(ISNUMBER(SEARCH("Policies",'Data extraction-synthesis'!K11)),"X","")</f>
        <v/>
      </c>
      <c r="K12" s="52" t="str">
        <f>IF(ISNUMBER(SEARCH("Websites of developers",'Data extraction-synthesis'!K11)),"X","")</f>
        <v/>
      </c>
      <c r="L12" s="52" t="str">
        <f>IF(ISNUMBER(SEARCH("Data available",'Data extraction-synthesis'!K11)),"X","")</f>
        <v/>
      </c>
      <c r="M12" s="52" t="str">
        <f>IF(ISNUMBER(SEARCH("No scoping phase reported",'Data extraction-synthesis'!K11)),"X","")</f>
        <v/>
      </c>
      <c r="N12" s="52" t="str">
        <f>IF(ISNUMBER(SEARCH("N/A",'Data extraction-synthesis'!K11)),"X","")</f>
        <v/>
      </c>
      <c r="O12" s="9" t="str">
        <f t="shared" si="0"/>
        <v>NO</v>
      </c>
      <c r="T12" t="s">
        <v>29</v>
      </c>
      <c r="W12" s="10" t="s">
        <v>505</v>
      </c>
    </row>
    <row r="13" spans="1:20" ht="159">
      <c r="A13" s="56" t="s">
        <v>45</v>
      </c>
      <c r="B13" s="22" t="s">
        <v>46</v>
      </c>
      <c r="C13" s="52" t="str">
        <f>IF(ISNUMBER(SEARCH("Literature",'Data extraction-synthesis'!K12)),"X","")</f>
        <v/>
      </c>
      <c r="D13" s="52" t="str">
        <f>IF(ISNUMBER(SEARCH("Interviews with experts",'Data extraction-synthesis'!K12)),"X","")</f>
        <v/>
      </c>
      <c r="E13" s="52" t="str">
        <f>IF(ISNUMBER(SEARCH("Survey with experts/Expert opinion",'Data extraction-synthesis'!K12)),"X","")</f>
        <v>X</v>
      </c>
      <c r="F13" s="52" t="str">
        <f>IF(ISNUMBER(SEARCH("Ethnographic interviews",'Data extraction-synthesis'!K12)),"X","")</f>
        <v/>
      </c>
      <c r="G13" s="52" t="str">
        <f>IF(ISNUMBER(SEARCH("Reports",'Data extraction-synthesis'!K12)),"X","")</f>
        <v/>
      </c>
      <c r="H13" s="52" t="str">
        <f>IF(ISNUMBER(SEARCH("Questionnaire provided to expert",'Data extraction-synthesis'!K12)),"X","")</f>
        <v/>
      </c>
      <c r="I13" s="52" t="str">
        <f>IF(ISNUMBER(SEARCH("Field research",'Data extraction-synthesis'!K12)),"X","")</f>
        <v/>
      </c>
      <c r="J13" s="52" t="str">
        <f>IF(ISNUMBER(SEARCH("Policies",'Data extraction-synthesis'!K12)),"X","")</f>
        <v/>
      </c>
      <c r="K13" s="52" t="str">
        <f>IF(ISNUMBER(SEARCH("Websites of developers",'Data extraction-synthesis'!K12)),"X","")</f>
        <v/>
      </c>
      <c r="L13" s="52" t="str">
        <f>IF(ISNUMBER(SEARCH("Data available",'Data extraction-synthesis'!K12)),"X","")</f>
        <v/>
      </c>
      <c r="M13" s="52" t="str">
        <f>IF(ISNUMBER(SEARCH("No scoping phase reported",'Data extraction-synthesis'!K12)),"X","")</f>
        <v/>
      </c>
      <c r="N13" s="52" t="str">
        <f>IF(ISNUMBER(SEARCH("N/A",'Data extraction-synthesis'!K12)),"X","")</f>
        <v/>
      </c>
      <c r="O13" s="9" t="str">
        <f t="shared" si="0"/>
        <v>NO</v>
      </c>
      <c r="T13" t="s">
        <v>357</v>
      </c>
    </row>
    <row r="14" spans="1:20" ht="132.6">
      <c r="A14" s="56" t="s">
        <v>48</v>
      </c>
      <c r="B14" s="22" t="s">
        <v>49</v>
      </c>
      <c r="C14" s="52" t="str">
        <f>IF(ISNUMBER(SEARCH("Literature",'Data extraction-synthesis'!K13)),"X","")</f>
        <v/>
      </c>
      <c r="D14" s="52" t="str">
        <f>IF(ISNUMBER(SEARCH("Interviews with experts",'Data extraction-synthesis'!K13)),"X","")</f>
        <v/>
      </c>
      <c r="E14" s="52" t="str">
        <f>IF(ISNUMBER(SEARCH("Survey with experts/Expert opinion",'Data extraction-synthesis'!K13)),"X","")</f>
        <v>X</v>
      </c>
      <c r="F14" s="52" t="str">
        <f>IF(ISNUMBER(SEARCH("Ethnographic interviews",'Data extraction-synthesis'!K13)),"X","")</f>
        <v/>
      </c>
      <c r="G14" s="52" t="str">
        <f>IF(ISNUMBER(SEARCH("Reports",'Data extraction-synthesis'!K13)),"X","")</f>
        <v/>
      </c>
      <c r="H14" s="52" t="str">
        <f>IF(ISNUMBER(SEARCH("Questionnaire provided to expert",'Data extraction-synthesis'!K13)),"X","")</f>
        <v/>
      </c>
      <c r="I14" s="52" t="str">
        <f>IF(ISNUMBER(SEARCH("Field research",'Data extraction-synthesis'!K13)),"X","")</f>
        <v/>
      </c>
      <c r="J14" s="52" t="str">
        <f>IF(ISNUMBER(SEARCH("Policies",'Data extraction-synthesis'!K13)),"X","")</f>
        <v/>
      </c>
      <c r="K14" s="52" t="str">
        <f>IF(ISNUMBER(SEARCH("Websites of developers",'Data extraction-synthesis'!K13)),"X","")</f>
        <v/>
      </c>
      <c r="L14" s="52" t="str">
        <f>IF(ISNUMBER(SEARCH("Data available",'Data extraction-synthesis'!K13)),"X","")</f>
        <v/>
      </c>
      <c r="M14" s="52" t="str">
        <f>IF(ISNUMBER(SEARCH("No scoping phase reported",'Data extraction-synthesis'!K13)),"X","")</f>
        <v/>
      </c>
      <c r="N14" s="52" t="str">
        <f>IF(ISNUMBER(SEARCH("N/A",'Data extraction-synthesis'!K13)),"X","")</f>
        <v/>
      </c>
      <c r="O14" s="9" t="str">
        <f t="shared" si="0"/>
        <v>NO</v>
      </c>
      <c r="T14" t="s">
        <v>357</v>
      </c>
    </row>
    <row r="15" spans="1:15" ht="211.8">
      <c r="A15" s="56" t="s">
        <v>50</v>
      </c>
      <c r="B15" s="22" t="s">
        <v>51</v>
      </c>
      <c r="C15" s="52" t="str">
        <f>IF(ISNUMBER(SEARCH("Literature",'Data extraction-synthesis'!K14)),"X","")</f>
        <v/>
      </c>
      <c r="D15" s="52" t="str">
        <f>IF(ISNUMBER(SEARCH("Interviews with experts",'Data extraction-synthesis'!K14)),"X","")</f>
        <v/>
      </c>
      <c r="E15" s="52" t="str">
        <f>IF(ISNUMBER(SEARCH("Survey with experts/Expert opinion",'Data extraction-synthesis'!K14)),"X","")</f>
        <v/>
      </c>
      <c r="F15" s="52" t="str">
        <f>IF(ISNUMBER(SEARCH("Ethnographic interviews",'Data extraction-synthesis'!K14)),"X","")</f>
        <v/>
      </c>
      <c r="G15" s="52" t="str">
        <f>IF(ISNUMBER(SEARCH("Reports",'Data extraction-synthesis'!K14)),"X","")</f>
        <v/>
      </c>
      <c r="H15" s="52" t="str">
        <f>IF(ISNUMBER(SEARCH("Questionnaire provided to expert",'Data extraction-synthesis'!K14)),"X","")</f>
        <v/>
      </c>
      <c r="I15" s="52" t="str">
        <f>IF(ISNUMBER(SEARCH("Field research",'Data extraction-synthesis'!K14)),"X","")</f>
        <v/>
      </c>
      <c r="J15" s="52" t="str">
        <f>IF(ISNUMBER(SEARCH("Policies",'Data extraction-synthesis'!K14)),"X","")</f>
        <v/>
      </c>
      <c r="K15" s="52" t="str">
        <f>IF(ISNUMBER(SEARCH("Websites of developers",'Data extraction-synthesis'!K14)),"X","")</f>
        <v/>
      </c>
      <c r="L15" s="52" t="str">
        <f>IF(ISNUMBER(SEARCH("Data available",'Data extraction-synthesis'!K14)),"X","")</f>
        <v/>
      </c>
      <c r="M15" s="52" t="str">
        <f>IF(ISNUMBER(SEARCH("No scoping phase reported",'Data extraction-synthesis'!K14)),"X","")</f>
        <v>X</v>
      </c>
      <c r="N15" s="52" t="str">
        <f>IF(ISNUMBER(SEARCH("N/A",'Data extraction-synthesis'!K14)),"X","")</f>
        <v/>
      </c>
      <c r="O15" s="9" t="str">
        <f t="shared" si="0"/>
        <v>N/A</v>
      </c>
    </row>
    <row r="16" spans="1:23" ht="172.2">
      <c r="A16" s="56" t="s">
        <v>53</v>
      </c>
      <c r="B16" s="22" t="s">
        <v>54</v>
      </c>
      <c r="C16" s="52" t="str">
        <f>IF(ISNUMBER(SEARCH("Literature",'Data extraction-synthesis'!K15)),"X","")</f>
        <v>X</v>
      </c>
      <c r="D16" s="91" t="str">
        <f>IF(ISNUMBER(SEARCH("Interviews with experts",'Data extraction-synthesis'!K15)),"X","")</f>
        <v>X</v>
      </c>
      <c r="E16" s="52" t="str">
        <f>IF(ISNUMBER(SEARCH("Survey with experts/Expert opinion",'Data extraction-synthesis'!K15)),"X","")</f>
        <v/>
      </c>
      <c r="F16" s="52" t="str">
        <f>IF(ISNUMBER(SEARCH("Ethnographic interviews",'Data extraction-synthesis'!K15)),"X","")</f>
        <v/>
      </c>
      <c r="G16" s="52" t="str">
        <f>IF(ISNUMBER(SEARCH("Reports",'Data extraction-synthesis'!K15)),"X","")</f>
        <v>X</v>
      </c>
      <c r="H16" s="52" t="str">
        <f>IF(ISNUMBER(SEARCH("Questionnaire provided to expert",'Data extraction-synthesis'!K15)),"X","")</f>
        <v/>
      </c>
      <c r="I16" s="52" t="str">
        <f>IF(ISNUMBER(SEARCH("Field research",'Data extraction-synthesis'!K15)),"X","")</f>
        <v/>
      </c>
      <c r="J16" s="52" t="str">
        <f>IF(ISNUMBER(SEARCH("Policies",'Data extraction-synthesis'!K15)),"X","")</f>
        <v>X</v>
      </c>
      <c r="K16" s="52" t="str">
        <f>IF(ISNUMBER(SEARCH("Websites of developers",'Data extraction-synthesis'!K15)),"X","")</f>
        <v>X</v>
      </c>
      <c r="L16" s="52" t="str">
        <f>IF(ISNUMBER(SEARCH("Data available",'Data extraction-synthesis'!K15)),"X","")</f>
        <v/>
      </c>
      <c r="M16" s="52" t="str">
        <f>IF(ISNUMBER(SEARCH("No scoping phase reported",'Data extraction-synthesis'!K15)),"X","")</f>
        <v/>
      </c>
      <c r="N16" s="52" t="str">
        <f>IF(ISNUMBER(SEARCH("N/A",'Data extraction-synthesis'!K15)),"X","")</f>
        <v/>
      </c>
      <c r="O16" s="9" t="str">
        <f t="shared" si="0"/>
        <v>YES</v>
      </c>
      <c r="W16" s="10" t="s">
        <v>510</v>
      </c>
    </row>
    <row r="17" spans="1:20" ht="172.2">
      <c r="A17" s="56" t="s">
        <v>55</v>
      </c>
      <c r="B17" s="22" t="s">
        <v>56</v>
      </c>
      <c r="C17" s="52" t="str">
        <f>IF(ISNUMBER(SEARCH("Literature",'Data extraction-synthesis'!K16)),"X","")</f>
        <v/>
      </c>
      <c r="D17" s="52" t="str">
        <f>IF(ISNUMBER(SEARCH("Interviews with experts",'Data extraction-synthesis'!K16)),"X","")</f>
        <v/>
      </c>
      <c r="E17" s="52" t="str">
        <f>IF(ISNUMBER(SEARCH("Survey with experts/Expert opinion",'Data extraction-synthesis'!K16)),"X","")</f>
        <v>X</v>
      </c>
      <c r="F17" s="52" t="str">
        <f>IF(ISNUMBER(SEARCH("Ethnographic interviews",'Data extraction-synthesis'!K16)),"X","")</f>
        <v/>
      </c>
      <c r="G17" s="52" t="str">
        <f>IF(ISNUMBER(SEARCH("Reports",'Data extraction-synthesis'!K16)),"X","")</f>
        <v/>
      </c>
      <c r="H17" s="52" t="str">
        <f>IF(ISNUMBER(SEARCH("Questionnaire provided to expert",'Data extraction-synthesis'!K16)),"X","")</f>
        <v/>
      </c>
      <c r="I17" s="52" t="str">
        <f>IF(ISNUMBER(SEARCH("Field research",'Data extraction-synthesis'!K16)),"X","")</f>
        <v/>
      </c>
      <c r="J17" s="52" t="str">
        <f>IF(ISNUMBER(SEARCH("Policies",'Data extraction-synthesis'!K16)),"X","")</f>
        <v/>
      </c>
      <c r="K17" s="52" t="str">
        <f>IF(ISNUMBER(SEARCH("Websites of developers",'Data extraction-synthesis'!K16)),"X","")</f>
        <v/>
      </c>
      <c r="L17" s="52" t="str">
        <f>IF(ISNUMBER(SEARCH("Data available",'Data extraction-synthesis'!K16)),"X","")</f>
        <v/>
      </c>
      <c r="M17" s="52" t="str">
        <f>IF(ISNUMBER(SEARCH("No scoping phase reported",'Data extraction-synthesis'!K16)),"X","")</f>
        <v/>
      </c>
      <c r="N17" s="52" t="str">
        <f>IF(ISNUMBER(SEARCH("N/A",'Data extraction-synthesis'!K16)),"X","")</f>
        <v/>
      </c>
      <c r="O17" s="9" t="str">
        <f t="shared" si="0"/>
        <v>NO</v>
      </c>
      <c r="T17" t="s">
        <v>357</v>
      </c>
    </row>
    <row r="18" spans="1:20" ht="79.8">
      <c r="A18" s="56" t="s">
        <v>58</v>
      </c>
      <c r="B18" s="22" t="s">
        <v>59</v>
      </c>
      <c r="C18" s="52" t="str">
        <f>IF(ISNUMBER(SEARCH("Literature",'Data extraction-synthesis'!K17)),"X","")</f>
        <v/>
      </c>
      <c r="D18" s="91" t="str">
        <f>IF(ISNUMBER(SEARCH("Interviews with experts",'Data extraction-synthesis'!K17)),"X","")</f>
        <v/>
      </c>
      <c r="E18" s="52" t="str">
        <f>IF(ISNUMBER(SEARCH("Survey with experts/Expert opinion",'Data extraction-synthesis'!K17)),"X","")</f>
        <v>X</v>
      </c>
      <c r="F18" s="52" t="str">
        <f>IF(ISNUMBER(SEARCH("Ethnographic interviews",'Data extraction-synthesis'!K17)),"X","")</f>
        <v/>
      </c>
      <c r="G18" s="52" t="str">
        <f>IF(ISNUMBER(SEARCH("Reports",'Data extraction-synthesis'!K17)),"X","")</f>
        <v/>
      </c>
      <c r="H18" s="52" t="str">
        <f>IF(ISNUMBER(SEARCH("Questionnaire provided to expert",'Data extraction-synthesis'!K17)),"X","")</f>
        <v/>
      </c>
      <c r="I18" s="52" t="str">
        <f>IF(ISNUMBER(SEARCH("Field research",'Data extraction-synthesis'!K17)),"X","")</f>
        <v/>
      </c>
      <c r="J18" s="52" t="str">
        <f>IF(ISNUMBER(SEARCH("Policies",'Data extraction-synthesis'!K17)),"X","")</f>
        <v/>
      </c>
      <c r="K18" s="52" t="str">
        <f>IF(ISNUMBER(SEARCH("Websites of developers",'Data extraction-synthesis'!K17)),"X","")</f>
        <v/>
      </c>
      <c r="L18" s="52" t="str">
        <f>IF(ISNUMBER(SEARCH("Data available",'Data extraction-synthesis'!K17)),"X","")</f>
        <v/>
      </c>
      <c r="M18" s="52" t="str">
        <f>IF(ISNUMBER(SEARCH("No scoping phase reported",'Data extraction-synthesis'!K17)),"X","")</f>
        <v/>
      </c>
      <c r="N18" s="52" t="str">
        <f>IF(ISNUMBER(SEARCH("N/A",'Data extraction-synthesis'!K17)),"X","")</f>
        <v/>
      </c>
      <c r="O18" s="9" t="str">
        <f t="shared" si="0"/>
        <v>NO</v>
      </c>
      <c r="T18" t="s">
        <v>357</v>
      </c>
    </row>
    <row r="19" spans="1:15" ht="159">
      <c r="A19" s="56" t="s">
        <v>58</v>
      </c>
      <c r="B19" s="22" t="s">
        <v>60</v>
      </c>
      <c r="C19" s="52" t="str">
        <f>IF(ISNUMBER(SEARCH("Literature",'Data extraction-synthesis'!K18)),"X","")</f>
        <v/>
      </c>
      <c r="D19" s="52" t="str">
        <f>IF(ISNUMBER(SEARCH("Interviews with experts",'Data extraction-synthesis'!K18)),"X","")</f>
        <v/>
      </c>
      <c r="E19" s="52" t="str">
        <f>IF(ISNUMBER(SEARCH("Survey with experts/Expert opinion",'Data extraction-synthesis'!K18)),"X","")</f>
        <v/>
      </c>
      <c r="F19" s="52" t="str">
        <f>IF(ISNUMBER(SEARCH("Ethnographic interviews",'Data extraction-synthesis'!K18)),"X","")</f>
        <v/>
      </c>
      <c r="G19" s="52" t="str">
        <f>IF(ISNUMBER(SEARCH("Reports",'Data extraction-synthesis'!K18)),"X","")</f>
        <v/>
      </c>
      <c r="H19" s="52" t="str">
        <f>IF(ISNUMBER(SEARCH("Questionnaire provided to expert",'Data extraction-synthesis'!K18)),"X","")</f>
        <v/>
      </c>
      <c r="I19" s="52" t="str">
        <f>IF(ISNUMBER(SEARCH("Field research",'Data extraction-synthesis'!K18)),"X","")</f>
        <v/>
      </c>
      <c r="J19" s="52" t="str">
        <f>IF(ISNUMBER(SEARCH("Policies",'Data extraction-synthesis'!K18)),"X","")</f>
        <v/>
      </c>
      <c r="K19" s="52" t="str">
        <f>IF(ISNUMBER(SEARCH("Websites of developers",'Data extraction-synthesis'!K18)),"X","")</f>
        <v/>
      </c>
      <c r="L19" s="52" t="str">
        <f>IF(ISNUMBER(SEARCH("Data available",'Data extraction-synthesis'!K18)),"X","")</f>
        <v/>
      </c>
      <c r="M19" s="52" t="str">
        <f>IF(ISNUMBER(SEARCH("No scoping phase reported",'Data extraction-synthesis'!K18)),"X","")</f>
        <v>X</v>
      </c>
      <c r="N19" s="52" t="str">
        <f>IF(ISNUMBER(SEARCH("N/A",'Data extraction-synthesis'!K18)),"X","")</f>
        <v/>
      </c>
      <c r="O19" s="9" t="str">
        <f t="shared" si="0"/>
        <v>N/A</v>
      </c>
    </row>
    <row r="20" spans="1:15" ht="225">
      <c r="A20" s="56" t="s">
        <v>61</v>
      </c>
      <c r="B20" s="22" t="s">
        <v>62</v>
      </c>
      <c r="C20" s="52" t="str">
        <f>IF(ISNUMBER(SEARCH("Literature",'Data extraction-synthesis'!K19)),"X","")</f>
        <v/>
      </c>
      <c r="D20" s="52" t="str">
        <f>IF(ISNUMBER(SEARCH("Interviews with experts",'Data extraction-synthesis'!K19)),"X","")</f>
        <v/>
      </c>
      <c r="E20" s="52" t="str">
        <f>IF(ISNUMBER(SEARCH("Survey with experts/Expert opinion",'Data extraction-synthesis'!K19)),"X","")</f>
        <v/>
      </c>
      <c r="F20" s="52" t="str">
        <f>IF(ISNUMBER(SEARCH("Ethnographic interviews",'Data extraction-synthesis'!K19)),"X","")</f>
        <v/>
      </c>
      <c r="G20" s="52" t="str">
        <f>IF(ISNUMBER(SEARCH("Reports",'Data extraction-synthesis'!K19)),"X","")</f>
        <v/>
      </c>
      <c r="H20" s="52" t="str">
        <f>IF(ISNUMBER(SEARCH("Questionnaire provided to expert",'Data extraction-synthesis'!K19)),"X","")</f>
        <v/>
      </c>
      <c r="I20" s="52" t="str">
        <f>IF(ISNUMBER(SEARCH("Field research",'Data extraction-synthesis'!K19)),"X","")</f>
        <v/>
      </c>
      <c r="J20" s="52" t="str">
        <f>IF(ISNUMBER(SEARCH("Policies",'Data extraction-synthesis'!K19)),"X","")</f>
        <v/>
      </c>
      <c r="K20" s="52" t="str">
        <f>IF(ISNUMBER(SEARCH("Websites of developers",'Data extraction-synthesis'!K19)),"X","")</f>
        <v/>
      </c>
      <c r="L20" s="52" t="str">
        <f>IF(ISNUMBER(SEARCH("Data available",'Data extraction-synthesis'!K19)),"X","")</f>
        <v/>
      </c>
      <c r="M20" s="52" t="str">
        <f>IF(ISNUMBER(SEARCH("No scoping phase reported",'Data extraction-synthesis'!K19)),"X","")</f>
        <v>X</v>
      </c>
      <c r="N20" s="52" t="str">
        <f>IF(ISNUMBER(SEARCH("N/A",'Data extraction-synthesis'!K19)),"X","")</f>
        <v/>
      </c>
      <c r="O20" s="9" t="str">
        <f t="shared" si="0"/>
        <v>N/A</v>
      </c>
    </row>
    <row r="21" spans="1:23" ht="145.8">
      <c r="A21" s="56" t="s">
        <v>61</v>
      </c>
      <c r="B21" s="22" t="s">
        <v>63</v>
      </c>
      <c r="C21" s="52" t="str">
        <f>IF(ISNUMBER(SEARCH("Literature",'Data extraction-synthesis'!K20)),"X","")</f>
        <v>X</v>
      </c>
      <c r="D21" s="91" t="str">
        <f>IF(ISNUMBER(SEARCH("Interviews with experts",'Data extraction-synthesis'!K20)),"X","")</f>
        <v>X</v>
      </c>
      <c r="E21" s="102"/>
      <c r="F21" s="52" t="str">
        <f>IF(ISNUMBER(SEARCH("Ethnographic interviews",'Data extraction-synthesis'!K20)),"X","")</f>
        <v/>
      </c>
      <c r="G21" s="52" t="str">
        <f>IF(ISNUMBER(SEARCH("Reports",'Data extraction-synthesis'!K20)),"X","")</f>
        <v/>
      </c>
      <c r="H21" s="52" t="str">
        <f>IF(ISNUMBER(SEARCH("Questionnaire provided to expert",'Data extraction-synthesis'!K20)),"X","")</f>
        <v/>
      </c>
      <c r="I21" s="52" t="str">
        <f>IF(ISNUMBER(SEARCH("Field research",'Data extraction-synthesis'!K20)),"X","")</f>
        <v/>
      </c>
      <c r="J21" s="52" t="str">
        <f>IF(ISNUMBER(SEARCH("Policies",'Data extraction-synthesis'!K20)),"X","")</f>
        <v/>
      </c>
      <c r="K21" s="52" t="str">
        <f>IF(ISNUMBER(SEARCH("Websites of developers",'Data extraction-synthesis'!K20)),"X","")</f>
        <v/>
      </c>
      <c r="L21" s="52" t="str">
        <f>IF(ISNUMBER(SEARCH("Data available",'Data extraction-synthesis'!K20)),"X","")</f>
        <v/>
      </c>
      <c r="M21" s="52" t="str">
        <f>IF(ISNUMBER(SEARCH("No scoping phase reported",'Data extraction-synthesis'!K20)),"X","")</f>
        <v/>
      </c>
      <c r="N21" s="52" t="str">
        <f>IF(ISNUMBER(SEARCH("N/A",'Data extraction-synthesis'!K20)),"X","")</f>
        <v/>
      </c>
      <c r="O21" s="9" t="str">
        <f t="shared" si="0"/>
        <v>YES</v>
      </c>
      <c r="W21" s="10" t="s">
        <v>513</v>
      </c>
    </row>
    <row r="22" spans="1:15" ht="93">
      <c r="A22" s="56" t="s">
        <v>61</v>
      </c>
      <c r="B22" s="22" t="s">
        <v>64</v>
      </c>
      <c r="C22" s="52" t="str">
        <f>IF(ISNUMBER(SEARCH("Literature",'Data extraction-synthesis'!K21)),"X","")</f>
        <v/>
      </c>
      <c r="D22" s="52" t="str">
        <f>IF(ISNUMBER(SEARCH("Interviews with experts",'Data extraction-synthesis'!K21)),"X","")</f>
        <v/>
      </c>
      <c r="E22" s="52" t="str">
        <f>IF(ISNUMBER(SEARCH("Survey with experts/Expert opinion",'Data extraction-synthesis'!K21)),"X","")</f>
        <v/>
      </c>
      <c r="F22" s="52" t="str">
        <f>IF(ISNUMBER(SEARCH("Ethnographic interviews",'Data extraction-synthesis'!K21)),"X","")</f>
        <v/>
      </c>
      <c r="G22" s="52" t="str">
        <f>IF(ISNUMBER(SEARCH("Reports",'Data extraction-synthesis'!K21)),"X","")</f>
        <v/>
      </c>
      <c r="H22" s="52" t="str">
        <f>IF(ISNUMBER(SEARCH("Questionnaire provided to expert",'Data extraction-synthesis'!K21)),"X","")</f>
        <v/>
      </c>
      <c r="I22" s="52" t="str">
        <f>IF(ISNUMBER(SEARCH("Field research",'Data extraction-synthesis'!K21)),"X","")</f>
        <v/>
      </c>
      <c r="J22" s="52" t="str">
        <f>IF(ISNUMBER(SEARCH("Policies",'Data extraction-synthesis'!K21)),"X","")</f>
        <v/>
      </c>
      <c r="K22" s="52" t="str">
        <f>IF(ISNUMBER(SEARCH("Websites of developers",'Data extraction-synthesis'!K21)),"X","")</f>
        <v/>
      </c>
      <c r="L22" s="52" t="str">
        <f>IF(ISNUMBER(SEARCH("Data available",'Data extraction-synthesis'!K21)),"X","")</f>
        <v/>
      </c>
      <c r="M22" s="52" t="str">
        <f>IF(ISNUMBER(SEARCH("No scoping phase reported",'Data extraction-synthesis'!K21)),"X","")</f>
        <v>X</v>
      </c>
      <c r="N22" s="52" t="str">
        <f>IF(ISNUMBER(SEARCH("N/A",'Data extraction-synthesis'!K21)),"X","")</f>
        <v/>
      </c>
      <c r="O22" s="9" t="str">
        <f t="shared" si="0"/>
        <v>N/A</v>
      </c>
    </row>
    <row r="23" spans="1:15" ht="93">
      <c r="A23" s="56" t="s">
        <v>65</v>
      </c>
      <c r="B23" s="22" t="s">
        <v>66</v>
      </c>
      <c r="C23" s="52" t="str">
        <f>IF(ISNUMBER(SEARCH("Literature",#REF!)),"X","")</f>
        <v/>
      </c>
      <c r="D23" s="52" t="str">
        <f>IF(ISNUMBER(SEARCH("Interviews with experts",'Data extraction-synthesis'!K22)),"X","")</f>
        <v/>
      </c>
      <c r="E23" s="52" t="str">
        <f>IF(ISNUMBER(SEARCH("Survey with experts/Expert opinion",#REF!)),"X","")</f>
        <v/>
      </c>
      <c r="F23" s="52" t="str">
        <f>IF(ISNUMBER(SEARCH("Ethnographic interviews",#REF!)),"X","")</f>
        <v/>
      </c>
      <c r="G23" s="52" t="str">
        <f>IF(ISNUMBER(SEARCH("Reports",#REF!)),"X","")</f>
        <v/>
      </c>
      <c r="H23" s="52" t="str">
        <f>IF(ISNUMBER(SEARCH("Questionnaire provided to expert",'Data extraction-synthesis'!K22)),"X","")</f>
        <v/>
      </c>
      <c r="I23" s="52" t="str">
        <f>IF(ISNUMBER(SEARCH("Field research",'Data extraction-synthesis'!K22)),"X","")</f>
        <v/>
      </c>
      <c r="J23" s="52" t="str">
        <f>IF(ISNUMBER(SEARCH("Policies",#REF!)),"X","")</f>
        <v/>
      </c>
      <c r="K23" s="52" t="str">
        <f>IF(ISNUMBER(SEARCH("Websites of developers",#REF!)),"X","")</f>
        <v/>
      </c>
      <c r="L23" s="52" t="str">
        <f>IF(ISNUMBER(SEARCH("Data available",'Data extraction-synthesis'!K22)),"X","")</f>
        <v/>
      </c>
      <c r="M23" s="103" t="s">
        <v>198</v>
      </c>
      <c r="N23" s="52"/>
      <c r="O23" s="9" t="str">
        <f t="shared" si="0"/>
        <v>N/A</v>
      </c>
    </row>
    <row r="24" spans="1:15" ht="93">
      <c r="A24" s="56" t="s">
        <v>65</v>
      </c>
      <c r="B24" s="22" t="s">
        <v>67</v>
      </c>
      <c r="C24" s="52" t="str">
        <f>IF(ISNUMBER(SEARCH("Literature",'Data extraction-synthesis'!K22)),"X","")</f>
        <v/>
      </c>
      <c r="D24" s="52" t="str">
        <f>IF(ISNUMBER(SEARCH("Interviews with experts",'Data extraction-synthesis'!K23)),"X","")</f>
        <v/>
      </c>
      <c r="E24" s="52" t="str">
        <f>IF(ISNUMBER(SEARCH("Survey with experts/Expert opinion",'Data extraction-synthesis'!K22)),"X","")</f>
        <v/>
      </c>
      <c r="F24" s="52" t="str">
        <f>IF(ISNUMBER(SEARCH("Ethnographic interviews",'Data extraction-synthesis'!K22)),"X","")</f>
        <v/>
      </c>
      <c r="G24" s="52" t="str">
        <f>IF(ISNUMBER(SEARCH("Reports",'Data extraction-synthesis'!K22)),"X","")</f>
        <v/>
      </c>
      <c r="H24" s="52" t="str">
        <f>IF(ISNUMBER(SEARCH("Questionnaire provided to expert",'Data extraction-synthesis'!K23)),"X","")</f>
        <v/>
      </c>
      <c r="I24" s="52" t="str">
        <f>IF(ISNUMBER(SEARCH("Field research",'Data extraction-synthesis'!K23)),"X","")</f>
        <v/>
      </c>
      <c r="J24" s="52" t="str">
        <f>IF(ISNUMBER(SEARCH("Policies",'Data extraction-synthesis'!K22)),"X","")</f>
        <v/>
      </c>
      <c r="K24" s="52" t="str">
        <f>IF(ISNUMBER(SEARCH("Websites of developers",'Data extraction-synthesis'!K22)),"X","")</f>
        <v/>
      </c>
      <c r="L24" s="52" t="str">
        <f>IF(ISNUMBER(SEARCH("Data available",'Data extraction-synthesis'!K23)),"X","")</f>
        <v/>
      </c>
      <c r="M24" s="103" t="s">
        <v>198</v>
      </c>
      <c r="N24" s="52"/>
      <c r="O24" s="9" t="str">
        <f t="shared" si="0"/>
        <v>N/A</v>
      </c>
    </row>
    <row r="25" spans="1:20" ht="132.6">
      <c r="A25" s="56" t="s">
        <v>36</v>
      </c>
      <c r="B25" s="22" t="s">
        <v>68</v>
      </c>
      <c r="C25" s="52" t="str">
        <f>IF(ISNUMBER(SEARCH("Literature",'Data extraction-synthesis'!K24)),"X","")</f>
        <v/>
      </c>
      <c r="D25" s="52" t="str">
        <f>IF(ISNUMBER(SEARCH("Interviews with experts",'Data extraction-synthesis'!K24)),"X","")</f>
        <v/>
      </c>
      <c r="E25" s="52" t="str">
        <f>IF(ISNUMBER(SEARCH("Survey with experts/Expert opinion",'Data extraction-synthesis'!K24)),"X","")</f>
        <v>X</v>
      </c>
      <c r="F25" s="52" t="str">
        <f>IF(ISNUMBER(SEARCH("Ethnographic interviews",'Data extraction-synthesis'!K24)),"X","")</f>
        <v/>
      </c>
      <c r="G25" s="52" t="str">
        <f>IF(ISNUMBER(SEARCH("Reports",'Data extraction-synthesis'!K24)),"X","")</f>
        <v/>
      </c>
      <c r="H25" s="52" t="str">
        <f>IF(ISNUMBER(SEARCH("Questionnaire provided to expert",'Data extraction-synthesis'!K24)),"X","")</f>
        <v/>
      </c>
      <c r="I25" s="52" t="str">
        <f>IF(ISNUMBER(SEARCH("Field research",'Data extraction-synthesis'!K24)),"X","")</f>
        <v/>
      </c>
      <c r="J25" s="52" t="str">
        <f>IF(ISNUMBER(SEARCH("Policies",'Data extraction-synthesis'!K24)),"X","")</f>
        <v/>
      </c>
      <c r="K25" s="52" t="str">
        <f>IF(ISNUMBER(SEARCH("Websites of developers",'Data extraction-synthesis'!K24)),"X","")</f>
        <v/>
      </c>
      <c r="L25" s="52" t="str">
        <f>IF(ISNUMBER(SEARCH("Data available",'Data extraction-synthesis'!K24)),"X","")</f>
        <v/>
      </c>
      <c r="M25" s="52" t="str">
        <f>IF(ISNUMBER(SEARCH("No scoping phase reported",'Data extraction-synthesis'!K24)),"X","")</f>
        <v/>
      </c>
      <c r="N25" s="52" t="str">
        <f>IF(ISNUMBER(SEARCH("N/A",'Data extraction-synthesis'!K24)),"X","")</f>
        <v/>
      </c>
      <c r="O25" s="9" t="str">
        <f t="shared" si="0"/>
        <v>NO</v>
      </c>
      <c r="T25" t="s">
        <v>357</v>
      </c>
    </row>
    <row r="26" spans="1:15" ht="211.8">
      <c r="A26" s="56" t="s">
        <v>36</v>
      </c>
      <c r="B26" s="22" t="s">
        <v>69</v>
      </c>
      <c r="C26" s="52" t="str">
        <f>IF(ISNUMBER(SEARCH("Literature",'Data extraction-synthesis'!K25)),"X","")</f>
        <v/>
      </c>
      <c r="D26" s="52" t="str">
        <f>IF(ISNUMBER(SEARCH("Interviews with experts",'Data extraction-synthesis'!K25)),"X","")</f>
        <v/>
      </c>
      <c r="E26" s="52" t="str">
        <f>IF(ISNUMBER(SEARCH("Survey with experts/Expert opinion",'Data extraction-synthesis'!K25)),"X","")</f>
        <v/>
      </c>
      <c r="F26" s="52" t="str">
        <f>IF(ISNUMBER(SEARCH("Ethnographic interviews",'Data extraction-synthesis'!K25)),"X","")</f>
        <v/>
      </c>
      <c r="G26" s="52" t="str">
        <f>IF(ISNUMBER(SEARCH("Reports",'Data extraction-synthesis'!K25)),"X","")</f>
        <v/>
      </c>
      <c r="H26" s="52" t="str">
        <f>IF(ISNUMBER(SEARCH("Questionnaire provided to expert",'Data extraction-synthesis'!K25)),"X","")</f>
        <v/>
      </c>
      <c r="I26" s="52" t="str">
        <f>IF(ISNUMBER(SEARCH("Field research",'Data extraction-synthesis'!K25)),"X","")</f>
        <v/>
      </c>
      <c r="J26" s="52" t="str">
        <f>IF(ISNUMBER(SEARCH("Policies",'Data extraction-synthesis'!K25)),"X","")</f>
        <v/>
      </c>
      <c r="K26" s="52" t="str">
        <f>IF(ISNUMBER(SEARCH("Websites of developers",'Data extraction-synthesis'!K25)),"X","")</f>
        <v/>
      </c>
      <c r="L26" s="52" t="str">
        <f>IF(ISNUMBER(SEARCH("Data available",'Data extraction-synthesis'!K25)),"X","")</f>
        <v/>
      </c>
      <c r="M26" s="52" t="str">
        <f>IF(ISNUMBER(SEARCH("No scoping phase reported",'Data extraction-synthesis'!K25)),"X","")</f>
        <v>X</v>
      </c>
      <c r="N26" s="52" t="str">
        <f>IF(ISNUMBER(SEARCH("N/A",'Data extraction-synthesis'!K25)),"X","")</f>
        <v/>
      </c>
      <c r="O26" s="9" t="str">
        <f t="shared" si="0"/>
        <v>N/A</v>
      </c>
    </row>
    <row r="27" spans="1:15" ht="251.4">
      <c r="A27" s="56" t="s">
        <v>36</v>
      </c>
      <c r="B27" s="22" t="s">
        <v>70</v>
      </c>
      <c r="C27" s="52" t="str">
        <f>IF(ISNUMBER(SEARCH("Literature",'Data extraction-synthesis'!K26)),"X","")</f>
        <v/>
      </c>
      <c r="D27" s="52" t="str">
        <f>IF(ISNUMBER(SEARCH("Interviews with experts",'Data extraction-synthesis'!K26)),"X","")</f>
        <v/>
      </c>
      <c r="E27" s="52" t="str">
        <f>IF(ISNUMBER(SEARCH("Survey with experts/Expert opinion",'Data extraction-synthesis'!K26)),"X","")</f>
        <v/>
      </c>
      <c r="F27" s="52" t="str">
        <f>IF(ISNUMBER(SEARCH("Ethnographic interviews",'Data extraction-synthesis'!K26)),"X","")</f>
        <v/>
      </c>
      <c r="G27" s="52" t="str">
        <f>IF(ISNUMBER(SEARCH("Reports",'Data extraction-synthesis'!K26)),"X","")</f>
        <v/>
      </c>
      <c r="H27" s="52" t="str">
        <f>IF(ISNUMBER(SEARCH("Questionnaire provided to expert",'Data extraction-synthesis'!K26)),"X","")</f>
        <v/>
      </c>
      <c r="I27" s="52" t="str">
        <f>IF(ISNUMBER(SEARCH("Field research",'Data extraction-synthesis'!K26)),"X","")</f>
        <v/>
      </c>
      <c r="J27" s="52" t="str">
        <f>IF(ISNUMBER(SEARCH("Policies",'Data extraction-synthesis'!K26)),"X","")</f>
        <v/>
      </c>
      <c r="K27" s="52" t="str">
        <f>IF(ISNUMBER(SEARCH("Websites of developers",'Data extraction-synthesis'!K26)),"X","")</f>
        <v/>
      </c>
      <c r="L27" s="52" t="str">
        <f>IF(ISNUMBER(SEARCH("Data available",'Data extraction-synthesis'!K26)),"X","")</f>
        <v/>
      </c>
      <c r="M27" s="52" t="str">
        <f>IF(ISNUMBER(SEARCH("No scoping phase reported",'Data extraction-synthesis'!K26)),"X","")</f>
        <v>X</v>
      </c>
      <c r="N27" s="52" t="str">
        <f>IF(ISNUMBER(SEARCH("N/A",'Data extraction-synthesis'!K26)),"X","")</f>
        <v/>
      </c>
      <c r="O27" s="9" t="str">
        <f t="shared" si="0"/>
        <v>N/A</v>
      </c>
    </row>
    <row r="28" spans="1:15" ht="159">
      <c r="A28" s="56" t="s">
        <v>36</v>
      </c>
      <c r="B28" s="22" t="s">
        <v>71</v>
      </c>
      <c r="C28" s="52" t="str">
        <f>IF(ISNUMBER(SEARCH("Literature",'Data extraction-synthesis'!K27)),"X","")</f>
        <v/>
      </c>
      <c r="D28" s="52" t="str">
        <f>IF(ISNUMBER(SEARCH("Interviews with experts",'Data extraction-synthesis'!K27)),"X","")</f>
        <v/>
      </c>
      <c r="E28" s="52" t="str">
        <f>IF(ISNUMBER(SEARCH("Survey with experts/Expert opinion",'Data extraction-synthesis'!K27)),"X","")</f>
        <v/>
      </c>
      <c r="F28" s="52" t="str">
        <f>IF(ISNUMBER(SEARCH("Ethnographic interviews",'Data extraction-synthesis'!K27)),"X","")</f>
        <v/>
      </c>
      <c r="G28" s="52" t="str">
        <f>IF(ISNUMBER(SEARCH("Reports",'Data extraction-synthesis'!K27)),"X","")</f>
        <v/>
      </c>
      <c r="H28" s="52" t="str">
        <f>IF(ISNUMBER(SEARCH("Questionnaire provided to expert",'Data extraction-synthesis'!K27)),"X","")</f>
        <v/>
      </c>
      <c r="I28" s="52" t="str">
        <f>IF(ISNUMBER(SEARCH("Field research",'Data extraction-synthesis'!K27)),"X","")</f>
        <v/>
      </c>
      <c r="J28" s="52" t="str">
        <f>IF(ISNUMBER(SEARCH("Policies",'Data extraction-synthesis'!K27)),"X","")</f>
        <v/>
      </c>
      <c r="K28" s="52" t="str">
        <f>IF(ISNUMBER(SEARCH("Websites of developers",'Data extraction-synthesis'!K27)),"X","")</f>
        <v/>
      </c>
      <c r="L28" s="52" t="str">
        <f>IF(ISNUMBER(SEARCH("Data available",'Data extraction-synthesis'!K27)),"X","")</f>
        <v/>
      </c>
      <c r="M28" s="52" t="str">
        <f>IF(ISNUMBER(SEARCH("No scoping phase reported",'Data extraction-synthesis'!K27)),"X","")</f>
        <v>X</v>
      </c>
      <c r="N28" s="52" t="str">
        <f>IF(ISNUMBER(SEARCH("N/A",'Data extraction-synthesis'!K27)),"X","")</f>
        <v/>
      </c>
      <c r="O28" s="9" t="str">
        <f t="shared" si="0"/>
        <v>N/A</v>
      </c>
    </row>
    <row r="29" spans="1:20" ht="79.8">
      <c r="A29" s="56" t="s">
        <v>36</v>
      </c>
      <c r="B29" s="22" t="s">
        <v>72</v>
      </c>
      <c r="C29" s="52" t="str">
        <f>IF(ISNUMBER(SEARCH("Literature",'Data extraction-synthesis'!K28)),"X","")</f>
        <v/>
      </c>
      <c r="D29" s="52" t="str">
        <f>IF(ISNUMBER(SEARCH("Interviews with experts",'Data extraction-synthesis'!K28)),"X","")</f>
        <v/>
      </c>
      <c r="E29" s="52" t="str">
        <f>IF(ISNUMBER(SEARCH("Survey with experts/Expert opinion",'Data extraction-synthesis'!K28)),"X","")</f>
        <v>X</v>
      </c>
      <c r="F29" s="52" t="str">
        <f>IF(ISNUMBER(SEARCH("Ethnographic interviews",'Data extraction-synthesis'!K28)),"X","")</f>
        <v/>
      </c>
      <c r="G29" s="52" t="str">
        <f>IF(ISNUMBER(SEARCH("Reports",'Data extraction-synthesis'!K28)),"X","")</f>
        <v/>
      </c>
      <c r="H29" s="52" t="str">
        <f>IF(ISNUMBER(SEARCH("Questionnaire provided to expert",'Data extraction-synthesis'!K28)),"X","")</f>
        <v/>
      </c>
      <c r="I29" s="52" t="str">
        <f>IF(ISNUMBER(SEARCH("Field research",'Data extraction-synthesis'!K28)),"X","")</f>
        <v/>
      </c>
      <c r="J29" s="52" t="str">
        <f>IF(ISNUMBER(SEARCH("Policies",'Data extraction-synthesis'!K28)),"X","")</f>
        <v/>
      </c>
      <c r="K29" s="52" t="str">
        <f>IF(ISNUMBER(SEARCH("Websites of developers",'Data extraction-synthesis'!K28)),"X","")</f>
        <v/>
      </c>
      <c r="L29" s="52" t="str">
        <f>IF(ISNUMBER(SEARCH("Data available",'Data extraction-synthesis'!K28)),"X","")</f>
        <v/>
      </c>
      <c r="M29" s="52" t="str">
        <f>IF(ISNUMBER(SEARCH("No scoping phase reported",'Data extraction-synthesis'!K28)),"X","")</f>
        <v/>
      </c>
      <c r="N29" s="52" t="str">
        <f>IF(ISNUMBER(SEARCH("N/A",'Data extraction-synthesis'!K28)),"X","")</f>
        <v/>
      </c>
      <c r="O29" s="9" t="str">
        <f t="shared" si="0"/>
        <v>NO</v>
      </c>
      <c r="T29" t="s">
        <v>357</v>
      </c>
    </row>
    <row r="30" spans="1:20" ht="119.4">
      <c r="A30" s="56" t="s">
        <v>36</v>
      </c>
      <c r="B30" s="22" t="s">
        <v>73</v>
      </c>
      <c r="C30" s="52" t="str">
        <f>IF(ISNUMBER(SEARCH("Literature",'Data extraction-synthesis'!K29)),"X","")</f>
        <v/>
      </c>
      <c r="D30" s="52" t="str">
        <f>IF(ISNUMBER(SEARCH("Interviews with experts",'Data extraction-synthesis'!K29)),"X","")</f>
        <v/>
      </c>
      <c r="E30" s="52" t="str">
        <f>IF(ISNUMBER(SEARCH("Survey with experts/Expert opinion",'Data extraction-synthesis'!K29)),"X","")</f>
        <v>X</v>
      </c>
      <c r="F30" s="52" t="str">
        <f>IF(ISNUMBER(SEARCH("Ethnographic interviews",'Data extraction-synthesis'!K29)),"X","")</f>
        <v/>
      </c>
      <c r="G30" s="52" t="str">
        <f>IF(ISNUMBER(SEARCH("Reports",'Data extraction-synthesis'!K29)),"X","")</f>
        <v/>
      </c>
      <c r="H30" s="52" t="str">
        <f>IF(ISNUMBER(SEARCH("Questionnaire provided to expert",'Data extraction-synthesis'!K29)),"X","")</f>
        <v/>
      </c>
      <c r="I30" s="52" t="str">
        <f>IF(ISNUMBER(SEARCH("Field research",'Data extraction-synthesis'!K29)),"X","")</f>
        <v/>
      </c>
      <c r="J30" s="52" t="str">
        <f>IF(ISNUMBER(SEARCH("Policies",'Data extraction-synthesis'!K29)),"X","")</f>
        <v/>
      </c>
      <c r="K30" s="52" t="str">
        <f>IF(ISNUMBER(SEARCH("Websites of developers",'Data extraction-synthesis'!K29)),"X","")</f>
        <v/>
      </c>
      <c r="L30" s="52" t="str">
        <f>IF(ISNUMBER(SEARCH("Data available",'Data extraction-synthesis'!K29)),"X","")</f>
        <v/>
      </c>
      <c r="M30" s="52" t="str">
        <f>IF(ISNUMBER(SEARCH("No scoping phase reported",'Data extraction-synthesis'!K29)),"X","")</f>
        <v/>
      </c>
      <c r="N30" s="52" t="str">
        <f>IF(ISNUMBER(SEARCH("N/A",'Data extraction-synthesis'!K29)),"X","")</f>
        <v/>
      </c>
      <c r="O30" s="9" t="str">
        <f t="shared" si="0"/>
        <v>NO</v>
      </c>
      <c r="T30" t="s">
        <v>357</v>
      </c>
    </row>
    <row r="31" spans="1:15" ht="66.6">
      <c r="A31" s="56" t="s">
        <v>75</v>
      </c>
      <c r="B31" s="22" t="s">
        <v>76</v>
      </c>
      <c r="C31" s="52" t="str">
        <f>IF(ISNUMBER(SEARCH("Literature",'Data extraction-synthesis'!K30)),"X","")</f>
        <v/>
      </c>
      <c r="D31" s="52" t="str">
        <f>IF(ISNUMBER(SEARCH("Interviews with experts",'Data extraction-synthesis'!K30)),"X","")</f>
        <v/>
      </c>
      <c r="E31" s="52" t="str">
        <f>IF(ISNUMBER(SEARCH("Survey with experts/Expert opinion",'Data extraction-synthesis'!K30)),"X","")</f>
        <v/>
      </c>
      <c r="F31" s="52" t="str">
        <f>IF(ISNUMBER(SEARCH("Ethnographic interviews",'Data extraction-synthesis'!K30)),"X","")</f>
        <v/>
      </c>
      <c r="G31" s="52" t="str">
        <f>IF(ISNUMBER(SEARCH("Reports",'Data extraction-synthesis'!K30)),"X","")</f>
        <v/>
      </c>
      <c r="H31" s="52" t="str">
        <f>IF(ISNUMBER(SEARCH("Questionnaire provided to expert",'Data extraction-synthesis'!K30)),"X","")</f>
        <v/>
      </c>
      <c r="I31" s="52" t="str">
        <f>IF(ISNUMBER(SEARCH("Field research",'Data extraction-synthesis'!K30)),"X","")</f>
        <v/>
      </c>
      <c r="J31" s="52" t="str">
        <f>IF(ISNUMBER(SEARCH("Policies",'Data extraction-synthesis'!K30)),"X","")</f>
        <v/>
      </c>
      <c r="K31" s="52" t="str">
        <f>IF(ISNUMBER(SEARCH("Websites of developers",'Data extraction-synthesis'!K30)),"X","")</f>
        <v/>
      </c>
      <c r="L31" s="52" t="str">
        <f>IF(ISNUMBER(SEARCH("Data available",'Data extraction-synthesis'!K30)),"X","")</f>
        <v/>
      </c>
      <c r="M31" s="52" t="str">
        <f>IF(ISNUMBER(SEARCH("No scoping phase reported",'Data extraction-synthesis'!K30)),"X","")</f>
        <v>X</v>
      </c>
      <c r="N31" s="52" t="str">
        <f>IF(ISNUMBER(SEARCH("N/A",'Data extraction-synthesis'!K30)),"X","")</f>
        <v/>
      </c>
      <c r="O31" s="9" t="str">
        <f t="shared" si="0"/>
        <v>N/A</v>
      </c>
    </row>
    <row r="32" spans="1:20" ht="93">
      <c r="A32" s="56" t="s">
        <v>65</v>
      </c>
      <c r="B32" s="22" t="s">
        <v>77</v>
      </c>
      <c r="C32" s="52" t="str">
        <f>IF(ISNUMBER(SEARCH("Literature",'Data extraction-synthesis'!K31)),"X","")</f>
        <v/>
      </c>
      <c r="D32" s="52" t="str">
        <f>IF(ISNUMBER(SEARCH("Interviews with experts",'Data extraction-synthesis'!K31)),"X","")</f>
        <v/>
      </c>
      <c r="E32" s="52" t="str">
        <f>IF(ISNUMBER(SEARCH("Survey with experts/Expert opinion",'Data extraction-synthesis'!K31)),"X","")</f>
        <v>X</v>
      </c>
      <c r="F32" s="52" t="str">
        <f>IF(ISNUMBER(SEARCH("Ethnographic interviews",'Data extraction-synthesis'!K31)),"X","")</f>
        <v/>
      </c>
      <c r="G32" s="52" t="str">
        <f>IF(ISNUMBER(SEARCH("Reports",'Data extraction-synthesis'!K31)),"X","")</f>
        <v/>
      </c>
      <c r="H32" s="52" t="str">
        <f>IF(ISNUMBER(SEARCH("Questionnaire provided to expert",'Data extraction-synthesis'!K31)),"X","")</f>
        <v/>
      </c>
      <c r="I32" s="52" t="str">
        <f>IF(ISNUMBER(SEARCH("Field research",'Data extraction-synthesis'!K31)),"X","")</f>
        <v/>
      </c>
      <c r="J32" s="52" t="str">
        <f>IF(ISNUMBER(SEARCH("Policies",'Data extraction-synthesis'!K31)),"X","")</f>
        <v/>
      </c>
      <c r="K32" s="52" t="str">
        <f>IF(ISNUMBER(SEARCH("Websites of developers",'Data extraction-synthesis'!K31)),"X","")</f>
        <v/>
      </c>
      <c r="L32" s="52" t="str">
        <f>IF(ISNUMBER(SEARCH("Data available",'Data extraction-synthesis'!K31)),"X","")</f>
        <v/>
      </c>
      <c r="M32" s="52" t="str">
        <f>IF(ISNUMBER(SEARCH("No scoping phase reported",'Data extraction-synthesis'!K31)),"X","")</f>
        <v/>
      </c>
      <c r="N32" s="52" t="str">
        <f>IF(ISNUMBER(SEARCH("N/A",'Data extraction-synthesis'!K31)),"X","")</f>
        <v/>
      </c>
      <c r="O32" s="9" t="str">
        <f t="shared" si="0"/>
        <v>NO</v>
      </c>
      <c r="T32" t="s">
        <v>357</v>
      </c>
    </row>
    <row r="33" spans="1:23" ht="119.4">
      <c r="A33" s="56" t="s">
        <v>65</v>
      </c>
      <c r="B33" s="22" t="s">
        <v>78</v>
      </c>
      <c r="C33" s="52" t="str">
        <f>IF(ISNUMBER(SEARCH("Literature",'Data extraction-synthesis'!K32)),"X","")</f>
        <v>X</v>
      </c>
      <c r="D33" s="52" t="str">
        <f>IF(ISNUMBER(SEARCH("Interviews with experts",'Data extraction-synthesis'!K32)),"X","")</f>
        <v/>
      </c>
      <c r="E33" s="52" t="str">
        <f>IF(ISNUMBER(SEARCH("Survey with experts/Expert opinion",'Data extraction-synthesis'!K32)),"X","")</f>
        <v>X</v>
      </c>
      <c r="F33" s="52" t="str">
        <f>IF(ISNUMBER(SEARCH("Ethnographic interviews",'Data extraction-synthesis'!K32)),"X","")</f>
        <v/>
      </c>
      <c r="G33" s="52" t="str">
        <f>IF(ISNUMBER(SEARCH("Reports",'Data extraction-synthesis'!K32)),"X","")</f>
        <v/>
      </c>
      <c r="H33" s="52" t="str">
        <f>IF(ISNUMBER(SEARCH("Questionnaire provided to expert",'Data extraction-synthesis'!K32)),"X","")</f>
        <v/>
      </c>
      <c r="I33" s="52" t="str">
        <f>IF(ISNUMBER(SEARCH("Field research",'Data extraction-synthesis'!K32)),"X","")</f>
        <v/>
      </c>
      <c r="J33" s="52" t="str">
        <f>IF(ISNUMBER(SEARCH("Policies",'Data extraction-synthesis'!K32)),"X","")</f>
        <v/>
      </c>
      <c r="K33" s="52" t="str">
        <f>IF(ISNUMBER(SEARCH("Websites of developers",'Data extraction-synthesis'!K32)),"X","")</f>
        <v/>
      </c>
      <c r="L33" s="52" t="str">
        <f>IF(ISNUMBER(SEARCH("Data available",'Data extraction-synthesis'!K32)),"X","")</f>
        <v/>
      </c>
      <c r="M33" s="52" t="str">
        <f>IF(ISNUMBER(SEARCH("No scoping phase reported",'Data extraction-synthesis'!K32)),"X","")</f>
        <v/>
      </c>
      <c r="N33" s="52" t="str">
        <f>IF(ISNUMBER(SEARCH("N/A",'Data extraction-synthesis'!K32)),"X","")</f>
        <v/>
      </c>
      <c r="O33" s="9" t="str">
        <f t="shared" si="0"/>
        <v>YES</v>
      </c>
      <c r="W33" t="s">
        <v>516</v>
      </c>
    </row>
    <row r="34" spans="1:20" ht="106.2">
      <c r="A34" s="56" t="s">
        <v>80</v>
      </c>
      <c r="B34" s="22" t="s">
        <v>81</v>
      </c>
      <c r="C34" s="52" t="str">
        <f>IF(ISNUMBER(SEARCH("Literature",'Data extraction-synthesis'!K33)),"X","")</f>
        <v/>
      </c>
      <c r="D34" s="104"/>
      <c r="E34" s="52" t="str">
        <f>IF(ISNUMBER(SEARCH("Survey with experts/Expert opinion",'Data extraction-synthesis'!K33)),"X","")</f>
        <v/>
      </c>
      <c r="F34" s="52" t="str">
        <f>IF(ISNUMBER(SEARCH("Ethnographic interviews",'Data extraction-synthesis'!K33)),"X","")</f>
        <v/>
      </c>
      <c r="G34" s="52" t="str">
        <f>IF(ISNUMBER(SEARCH("Reports",'Data extraction-synthesis'!K33)),"X","")</f>
        <v/>
      </c>
      <c r="H34" s="52" t="str">
        <f>IF(ISNUMBER(SEARCH("Questionnaire provided to expert",'Data extraction-synthesis'!K33)),"X","")</f>
        <v>X</v>
      </c>
      <c r="I34" s="52" t="str">
        <f>IF(ISNUMBER(SEARCH("Field research",'Data extraction-synthesis'!K33)),"X","")</f>
        <v/>
      </c>
      <c r="J34" s="52" t="str">
        <f>IF(ISNUMBER(SEARCH("Policies",'Data extraction-synthesis'!K33)),"X","")</f>
        <v/>
      </c>
      <c r="K34" s="52" t="str">
        <f>IF(ISNUMBER(SEARCH("Websites of developers",'Data extraction-synthesis'!K33)),"X","")</f>
        <v/>
      </c>
      <c r="L34" s="52" t="str">
        <f>IF(ISNUMBER(SEARCH("Data available",'Data extraction-synthesis'!K33)),"X","")</f>
        <v/>
      </c>
      <c r="M34" s="52" t="str">
        <f>IF(ISNUMBER(SEARCH("No scoping phase reported",'Data extraction-synthesis'!K33)),"X","")</f>
        <v/>
      </c>
      <c r="N34" s="52" t="str">
        <f>IF(ISNUMBER(SEARCH("N/A",'Data extraction-synthesis'!K33)),"X","")</f>
        <v/>
      </c>
      <c r="O34" s="9" t="str">
        <f t="shared" si="0"/>
        <v>NO</v>
      </c>
      <c r="T34" t="s">
        <v>357</v>
      </c>
    </row>
    <row r="35" spans="1:15" ht="132.6">
      <c r="A35" s="56" t="s">
        <v>61</v>
      </c>
      <c r="B35" s="22" t="s">
        <v>84</v>
      </c>
      <c r="C35" s="52" t="str">
        <f>IF(ISNUMBER(SEARCH("Literature",'Data extraction-synthesis'!K34)),"X","")</f>
        <v/>
      </c>
      <c r="D35" s="52" t="str">
        <f>IF(ISNUMBER(SEARCH("Interviews with experts",'Data extraction-synthesis'!K34)),"X","")</f>
        <v/>
      </c>
      <c r="E35" s="52" t="str">
        <f>IF(ISNUMBER(SEARCH("Survey with experts/Expert opinion",'Data extraction-synthesis'!K34)),"X","")</f>
        <v/>
      </c>
      <c r="F35" s="52" t="str">
        <f>IF(ISNUMBER(SEARCH("Ethnographic interviews",'Data extraction-synthesis'!K34)),"X","")</f>
        <v/>
      </c>
      <c r="G35" s="52" t="str">
        <f>IF(ISNUMBER(SEARCH("Reports",'Data extraction-synthesis'!K34)),"X","")</f>
        <v/>
      </c>
      <c r="H35" s="52" t="str">
        <f>IF(ISNUMBER(SEARCH("Questionnaire provided to expert",'Data extraction-synthesis'!K34)),"X","")</f>
        <v/>
      </c>
      <c r="I35" s="52" t="str">
        <f>IF(ISNUMBER(SEARCH("Field research",'Data extraction-synthesis'!K34)),"X","")</f>
        <v/>
      </c>
      <c r="J35" s="52" t="str">
        <f>IF(ISNUMBER(SEARCH("Policies",'Data extraction-synthesis'!K34)),"X","")</f>
        <v/>
      </c>
      <c r="K35" s="52" t="str">
        <f>IF(ISNUMBER(SEARCH("Websites of developers",'Data extraction-synthesis'!K34)),"X","")</f>
        <v/>
      </c>
      <c r="L35" s="52" t="str">
        <f>IF(ISNUMBER(SEARCH("Data available",'Data extraction-synthesis'!K34)),"X","")</f>
        <v/>
      </c>
      <c r="M35" s="52" t="str">
        <f>IF(ISNUMBER(SEARCH("No scoping phase reported",'Data extraction-synthesis'!K34)),"X","")</f>
        <v>X</v>
      </c>
      <c r="N35" s="52" t="str">
        <f>IF(ISNUMBER(SEARCH("N/A",'Data extraction-synthesis'!K34)),"X","")</f>
        <v/>
      </c>
      <c r="O35" s="9" t="str">
        <f t="shared" si="0"/>
        <v>N/A</v>
      </c>
    </row>
    <row r="36" spans="1:15" ht="159">
      <c r="A36" s="56" t="s">
        <v>61</v>
      </c>
      <c r="B36" s="22" t="s">
        <v>85</v>
      </c>
      <c r="C36" s="52" t="str">
        <f>IF(ISNUMBER(SEARCH("Literature",'Data extraction-synthesis'!K35)),"X","")</f>
        <v/>
      </c>
      <c r="D36" s="52" t="str">
        <f>IF(ISNUMBER(SEARCH("Interviews with experts",'Data extraction-synthesis'!K35)),"X","")</f>
        <v/>
      </c>
      <c r="E36" s="52" t="str">
        <f>IF(ISNUMBER(SEARCH("Survey with experts/Expert opinion",'Data extraction-synthesis'!K35)),"X","")</f>
        <v/>
      </c>
      <c r="F36" s="52" t="str">
        <f>IF(ISNUMBER(SEARCH("Ethnographic interviews",'Data extraction-synthesis'!K35)),"X","")</f>
        <v/>
      </c>
      <c r="G36" s="52" t="str">
        <f>IF(ISNUMBER(SEARCH("Reports",'Data extraction-synthesis'!K35)),"X","")</f>
        <v/>
      </c>
      <c r="H36" s="52" t="str">
        <f>IF(ISNUMBER(SEARCH("Questionnaire provided to expert",'Data extraction-synthesis'!K35)),"X","")</f>
        <v/>
      </c>
      <c r="I36" s="52" t="str">
        <f>IF(ISNUMBER(SEARCH("Field research",'Data extraction-synthesis'!K35)),"X","")</f>
        <v/>
      </c>
      <c r="J36" s="52" t="str">
        <f>IF(ISNUMBER(SEARCH("Policies",'Data extraction-synthesis'!K35)),"X","")</f>
        <v/>
      </c>
      <c r="K36" s="52" t="str">
        <f>IF(ISNUMBER(SEARCH("Websites of developers",'Data extraction-synthesis'!K35)),"X","")</f>
        <v/>
      </c>
      <c r="L36" s="52" t="str">
        <f>IF(ISNUMBER(SEARCH("Data available",'Data extraction-synthesis'!K35)),"X","")</f>
        <v/>
      </c>
      <c r="M36" s="52" t="str">
        <f>IF(ISNUMBER(SEARCH("No scoping phase reported",'Data extraction-synthesis'!K35)),"X","")</f>
        <v>X</v>
      </c>
      <c r="N36" s="52" t="str">
        <f>IF(ISNUMBER(SEARCH("N/A",'Data extraction-synthesis'!K35)),"X","")</f>
        <v/>
      </c>
      <c r="O36" s="9" t="str">
        <f t="shared" si="0"/>
        <v>N/A</v>
      </c>
    </row>
    <row r="37" spans="1:15" ht="93">
      <c r="A37" s="56" t="s">
        <v>86</v>
      </c>
      <c r="B37" s="22" t="s">
        <v>87</v>
      </c>
      <c r="C37" s="52" t="str">
        <f>IF(ISNUMBER(SEARCH("Literature",'Data extraction-synthesis'!K36)),"X","")</f>
        <v/>
      </c>
      <c r="D37" s="52" t="str">
        <f>IF(ISNUMBER(SEARCH("Interviews with experts",'Data extraction-synthesis'!K36)),"X","")</f>
        <v/>
      </c>
      <c r="E37" s="52" t="str">
        <f>IF(ISNUMBER(SEARCH("Survey with experts/Expert opinion",'Data extraction-synthesis'!K36)),"X","")</f>
        <v/>
      </c>
      <c r="F37" s="52" t="str">
        <f>IF(ISNUMBER(SEARCH("Ethnographic interviews",'Data extraction-synthesis'!K36)),"X","")</f>
        <v/>
      </c>
      <c r="G37" s="52" t="str">
        <f>IF(ISNUMBER(SEARCH("Reports",'Data extraction-synthesis'!K36)),"X","")</f>
        <v/>
      </c>
      <c r="H37" s="52" t="str">
        <f>IF(ISNUMBER(SEARCH("Questionnaire provided to expert",'Data extraction-synthesis'!K36)),"X","")</f>
        <v/>
      </c>
      <c r="I37" s="52" t="str">
        <f>IF(ISNUMBER(SEARCH("Field research",'Data extraction-synthesis'!K36)),"X","")</f>
        <v/>
      </c>
      <c r="J37" s="52" t="str">
        <f>IF(ISNUMBER(SEARCH("Policies",'Data extraction-synthesis'!K36)),"X","")</f>
        <v/>
      </c>
      <c r="K37" s="52" t="str">
        <f>IF(ISNUMBER(SEARCH("Websites of developers",'Data extraction-synthesis'!K36)),"X","")</f>
        <v/>
      </c>
      <c r="L37" s="52" t="str">
        <f>IF(ISNUMBER(SEARCH("Data available",'Data extraction-synthesis'!K36)),"X","")</f>
        <v/>
      </c>
      <c r="M37" s="52" t="str">
        <f>IF(ISNUMBER(SEARCH("No scoping phase reported",'Data extraction-synthesis'!K36)),"X","")</f>
        <v>X</v>
      </c>
      <c r="N37" s="52" t="str">
        <f>IF(ISNUMBER(SEARCH("N/A",'Data extraction-synthesis'!K36)),"X","")</f>
        <v/>
      </c>
      <c r="O37" s="9" t="str">
        <f t="shared" si="0"/>
        <v>N/A</v>
      </c>
    </row>
    <row r="38" spans="1:15" ht="66.6">
      <c r="A38" s="56" t="s">
        <v>86</v>
      </c>
      <c r="B38" s="22" t="s">
        <v>90</v>
      </c>
      <c r="C38" s="52" t="str">
        <f>IF(ISNUMBER(SEARCH("Literature",'Data extraction-synthesis'!K37)),"X","")</f>
        <v/>
      </c>
      <c r="D38" s="52" t="str">
        <f>IF(ISNUMBER(SEARCH("Interviews with experts",'Data extraction-synthesis'!K37)),"X","")</f>
        <v/>
      </c>
      <c r="E38" s="52" t="str">
        <f>IF(ISNUMBER(SEARCH("Survey with experts/Expert opinion",'Data extraction-synthesis'!K37)),"X","")</f>
        <v/>
      </c>
      <c r="F38" s="52" t="str">
        <f>IF(ISNUMBER(SEARCH("Ethnographic interviews",'Data extraction-synthesis'!K37)),"X","")</f>
        <v/>
      </c>
      <c r="G38" s="52" t="str">
        <f>IF(ISNUMBER(SEARCH("Reports",'Data extraction-synthesis'!K37)),"X","")</f>
        <v/>
      </c>
      <c r="H38" s="52" t="str">
        <f>IF(ISNUMBER(SEARCH("Questionnaire provided to expert",'Data extraction-synthesis'!K37)),"X","")</f>
        <v/>
      </c>
      <c r="I38" s="52" t="str">
        <f>IF(ISNUMBER(SEARCH("Field research",'Data extraction-synthesis'!K37)),"X","")</f>
        <v/>
      </c>
      <c r="J38" s="52" t="str">
        <f>IF(ISNUMBER(SEARCH("Policies",'Data extraction-synthesis'!K37)),"X","")</f>
        <v/>
      </c>
      <c r="K38" s="52" t="str">
        <f>IF(ISNUMBER(SEARCH("Websites of developers",'Data extraction-synthesis'!K37)),"X","")</f>
        <v/>
      </c>
      <c r="L38" s="52" t="str">
        <f>IF(ISNUMBER(SEARCH("Data available",'Data extraction-synthesis'!K37)),"X","")</f>
        <v/>
      </c>
      <c r="M38" s="52" t="str">
        <f>IF(ISNUMBER(SEARCH("No scoping phase reported",'Data extraction-synthesis'!K37)),"X","")</f>
        <v>X</v>
      </c>
      <c r="N38" s="52" t="str">
        <f>IF(ISNUMBER(SEARCH("N/A",'Data extraction-synthesis'!K37)),"X","")</f>
        <v/>
      </c>
      <c r="O38" s="9" t="str">
        <f t="shared" si="0"/>
        <v>N/A</v>
      </c>
    </row>
    <row r="39" spans="1:15" ht="79.8">
      <c r="A39" s="56" t="s">
        <v>86</v>
      </c>
      <c r="B39" s="22" t="s">
        <v>91</v>
      </c>
      <c r="C39" s="52" t="str">
        <f>IF(ISNUMBER(SEARCH("Literature",'Data extraction-synthesis'!K38)),"X","")</f>
        <v/>
      </c>
      <c r="D39" s="52" t="str">
        <f>IF(ISNUMBER(SEARCH("Interviews with experts",'Data extraction-synthesis'!K38)),"X","")</f>
        <v/>
      </c>
      <c r="E39" s="52" t="str">
        <f>IF(ISNUMBER(SEARCH("Survey with experts/Expert opinion",'Data extraction-synthesis'!K38)),"X","")</f>
        <v/>
      </c>
      <c r="F39" s="52" t="str">
        <f>IF(ISNUMBER(SEARCH("Ethnographic interviews",'Data extraction-synthesis'!K38)),"X","")</f>
        <v/>
      </c>
      <c r="G39" s="52" t="str">
        <f>IF(ISNUMBER(SEARCH("Reports",'Data extraction-synthesis'!K38)),"X","")</f>
        <v/>
      </c>
      <c r="H39" s="52" t="str">
        <f>IF(ISNUMBER(SEARCH("Questionnaire provided to expert",'Data extraction-synthesis'!K38)),"X","")</f>
        <v/>
      </c>
      <c r="I39" s="52" t="str">
        <f>IF(ISNUMBER(SEARCH("Field research",'Data extraction-synthesis'!K38)),"X","")</f>
        <v/>
      </c>
      <c r="J39" s="52" t="str">
        <f>IF(ISNUMBER(SEARCH("Policies",'Data extraction-synthesis'!K38)),"X","")</f>
        <v/>
      </c>
      <c r="K39" s="52" t="str">
        <f>IF(ISNUMBER(SEARCH("Websites of developers",'Data extraction-synthesis'!K38)),"X","")</f>
        <v/>
      </c>
      <c r="L39" s="52" t="str">
        <f>IF(ISNUMBER(SEARCH("Data available",'Data extraction-synthesis'!K38)),"X","")</f>
        <v/>
      </c>
      <c r="M39" s="52" t="str">
        <f>IF(ISNUMBER(SEARCH("No scoping phase reported",'Data extraction-synthesis'!K38)),"X","")</f>
        <v>X</v>
      </c>
      <c r="N39" s="52" t="str">
        <f>IF(ISNUMBER(SEARCH("N/A",'Data extraction-synthesis'!K38)),"X","")</f>
        <v/>
      </c>
      <c r="O39" s="9" t="str">
        <f t="shared" si="0"/>
        <v>N/A</v>
      </c>
    </row>
    <row r="40" spans="1:15" ht="93">
      <c r="A40" s="56" t="s">
        <v>92</v>
      </c>
      <c r="B40" s="22" t="s">
        <v>93</v>
      </c>
      <c r="C40" s="52" t="str">
        <f>IF(ISNUMBER(SEARCH("Literature",'Data extraction-synthesis'!K39)),"X","")</f>
        <v/>
      </c>
      <c r="D40" s="52" t="str">
        <f>IF(ISNUMBER(SEARCH("Interviews with experts",'Data extraction-synthesis'!K39)),"X","")</f>
        <v/>
      </c>
      <c r="E40" s="52" t="str">
        <f>IF(ISNUMBER(SEARCH("Survey with experts/Expert opinion",'Data extraction-synthesis'!K39)),"X","")</f>
        <v/>
      </c>
      <c r="F40" s="52" t="str">
        <f>IF(ISNUMBER(SEARCH("Ethnographic interviews",'Data extraction-synthesis'!K39)),"X","")</f>
        <v/>
      </c>
      <c r="G40" s="52" t="str">
        <f>IF(ISNUMBER(SEARCH("Reports",'Data extraction-synthesis'!K39)),"X","")</f>
        <v/>
      </c>
      <c r="H40" s="52" t="str">
        <f>IF(ISNUMBER(SEARCH("Questionnaire provided to expert",'Data extraction-synthesis'!K39)),"X","")</f>
        <v/>
      </c>
      <c r="I40" s="52" t="str">
        <f>IF(ISNUMBER(SEARCH("Field research",'Data extraction-synthesis'!K39)),"X","")</f>
        <v/>
      </c>
      <c r="J40" s="52" t="str">
        <f>IF(ISNUMBER(SEARCH("Policies",'Data extraction-synthesis'!K39)),"X","")</f>
        <v/>
      </c>
      <c r="K40" s="52" t="str">
        <f>IF(ISNUMBER(SEARCH("Websites of developers",'Data extraction-synthesis'!K39)),"X","")</f>
        <v/>
      </c>
      <c r="L40" s="52" t="str">
        <f>IF(ISNUMBER(SEARCH("Data available",'Data extraction-synthesis'!K39)),"X","")</f>
        <v/>
      </c>
      <c r="M40" s="52" t="str">
        <f>IF(ISNUMBER(SEARCH("No scoping phase reported",'Data extraction-synthesis'!K39)),"X","")</f>
        <v>X</v>
      </c>
      <c r="N40" s="52" t="str">
        <f>IF(ISNUMBER(SEARCH("N/A",'Data extraction-synthesis'!K39)),"X","")</f>
        <v/>
      </c>
      <c r="O40" s="9" t="str">
        <f t="shared" si="0"/>
        <v>N/A</v>
      </c>
    </row>
    <row r="41" spans="1:15" ht="145.8">
      <c r="A41" s="56" t="s">
        <v>94</v>
      </c>
      <c r="B41" s="22" t="s">
        <v>95</v>
      </c>
      <c r="C41" s="52" t="str">
        <f>IF(ISNUMBER(SEARCH("Literature",'Data extraction-synthesis'!K40)),"X","")</f>
        <v/>
      </c>
      <c r="D41" s="91" t="str">
        <f>IF(ISNUMBER(SEARCH("Interviews with experts",'Data extraction-synthesis'!K40)),"X","")</f>
        <v/>
      </c>
      <c r="E41" s="52" t="str">
        <f>IF(ISNUMBER(SEARCH("Survey with experts/Expert opinion",'Data extraction-synthesis'!K40)),"X","")</f>
        <v/>
      </c>
      <c r="F41" s="52" t="str">
        <f>IF(ISNUMBER(SEARCH("Ethnographic interviews",'Data extraction-synthesis'!K40)),"X","")</f>
        <v>X</v>
      </c>
      <c r="G41" s="52" t="str">
        <f>IF(ISNUMBER(SEARCH("Reports",'Data extraction-synthesis'!K40)),"X","")</f>
        <v/>
      </c>
      <c r="H41" s="52" t="str">
        <f>IF(ISNUMBER(SEARCH("Questionnaire provided to expert",'Data extraction-synthesis'!K40)),"X","")</f>
        <v/>
      </c>
      <c r="I41" s="52" t="str">
        <f>IF(ISNUMBER(SEARCH("Field research",'Data extraction-synthesis'!K40)),"X","")</f>
        <v>X</v>
      </c>
      <c r="J41" s="52" t="str">
        <f>IF(ISNUMBER(SEARCH("Policies",'Data extraction-synthesis'!K40)),"X","")</f>
        <v/>
      </c>
      <c r="K41" s="52" t="str">
        <f>IF(ISNUMBER(SEARCH("Websites of developers",'Data extraction-synthesis'!K40)),"X","")</f>
        <v/>
      </c>
      <c r="L41" s="52" t="str">
        <f>IF(ISNUMBER(SEARCH("Data available",'Data extraction-synthesis'!K40)),"X","")</f>
        <v/>
      </c>
      <c r="M41" s="52" t="str">
        <f>IF(ISNUMBER(SEARCH("No scoping phase reported",'Data extraction-synthesis'!K40)),"X","")</f>
        <v/>
      </c>
      <c r="N41" s="52" t="str">
        <f>IF(ISNUMBER(SEARCH("N/A",'Data extraction-synthesis'!K40)),"X","")</f>
        <v/>
      </c>
      <c r="O41" s="9" t="str">
        <f t="shared" si="0"/>
        <v>YES</v>
      </c>
    </row>
    <row r="42" spans="1:15" ht="119.4">
      <c r="A42" s="56" t="s">
        <v>58</v>
      </c>
      <c r="B42" s="22" t="s">
        <v>98</v>
      </c>
      <c r="C42" s="52" t="str">
        <f>IF(ISNUMBER(SEARCH("Literature",'Data extraction-synthesis'!K41)),"X","")</f>
        <v/>
      </c>
      <c r="D42" s="52" t="str">
        <f>IF(ISNUMBER(SEARCH("Interviews with experts",'Data extraction-synthesis'!K41)),"X","")</f>
        <v/>
      </c>
      <c r="E42" s="52" t="str">
        <f>IF(ISNUMBER(SEARCH("Survey with experts/Expert opinion",'Data extraction-synthesis'!K41)),"X","")</f>
        <v/>
      </c>
      <c r="F42" s="52" t="str">
        <f>IF(ISNUMBER(SEARCH("Ethnographic interviews",'Data extraction-synthesis'!K41)),"X","")</f>
        <v/>
      </c>
      <c r="G42" s="52" t="str">
        <f>IF(ISNUMBER(SEARCH("Reports",'Data extraction-synthesis'!K41)),"X","")</f>
        <v/>
      </c>
      <c r="H42" s="52" t="str">
        <f>IF(ISNUMBER(SEARCH("Questionnaire provided to expert",'Data extraction-synthesis'!K41)),"X","")</f>
        <v/>
      </c>
      <c r="I42" s="52" t="str">
        <f>IF(ISNUMBER(SEARCH("Field research",'Data extraction-synthesis'!K41)),"X","")</f>
        <v/>
      </c>
      <c r="J42" s="52" t="str">
        <f>IF(ISNUMBER(SEARCH("Policies",'Data extraction-synthesis'!K41)),"X","")</f>
        <v/>
      </c>
      <c r="K42" s="52" t="str">
        <f>IF(ISNUMBER(SEARCH("Websites of developers",'Data extraction-synthesis'!K41)),"X","")</f>
        <v/>
      </c>
      <c r="L42" s="52" t="str">
        <f>IF(ISNUMBER(SEARCH("Data available",'Data extraction-synthesis'!K41)),"X","")</f>
        <v/>
      </c>
      <c r="M42" s="52" t="str">
        <f>IF(ISNUMBER(SEARCH("No scoping phase reported",'Data extraction-synthesis'!K41)),"X","")</f>
        <v>X</v>
      </c>
      <c r="N42" s="52" t="str">
        <f>IF(ISNUMBER(SEARCH("N/A",'Data extraction-synthesis'!K41)),"X","")</f>
        <v/>
      </c>
      <c r="O42" s="9" t="str">
        <f t="shared" si="0"/>
        <v>N/A</v>
      </c>
    </row>
    <row r="43" spans="1:20" ht="119.4">
      <c r="A43" s="56" t="s">
        <v>61</v>
      </c>
      <c r="B43" s="22" t="s">
        <v>99</v>
      </c>
      <c r="C43" s="52" t="str">
        <f>IF(ISNUMBER(SEARCH("Literature",'Data extraction-synthesis'!K42)),"X","")</f>
        <v/>
      </c>
      <c r="D43" s="52" t="str">
        <f>IF(ISNUMBER(SEARCH("Interviews with experts",'Data extraction-synthesis'!K42)),"X","")</f>
        <v/>
      </c>
      <c r="E43" s="52" t="str">
        <f>IF(ISNUMBER(SEARCH("Survey with experts/Expert opinion",'Data extraction-synthesis'!K42)),"X","")</f>
        <v/>
      </c>
      <c r="F43" s="52" t="str">
        <f>IF(ISNUMBER(SEARCH("Ethnographic interviews",'Data extraction-synthesis'!K42)),"X","")</f>
        <v/>
      </c>
      <c r="G43" s="52" t="str">
        <f>IF(ISNUMBER(SEARCH("Reports",'Data extraction-synthesis'!K42)),"X","")</f>
        <v/>
      </c>
      <c r="H43" s="52" t="str">
        <f>IF(ISNUMBER(SEARCH("Questionnaire provided to expert",'Data extraction-synthesis'!K42)),"X","")</f>
        <v/>
      </c>
      <c r="I43" s="52" t="str">
        <f>IF(ISNUMBER(SEARCH("Field research",'Data extraction-synthesis'!K42)),"X","")</f>
        <v/>
      </c>
      <c r="J43" s="52" t="str">
        <f>IF(ISNUMBER(SEARCH("Policies",'Data extraction-synthesis'!K42)),"X","")</f>
        <v/>
      </c>
      <c r="K43" s="52" t="str">
        <f>IF(ISNUMBER(SEARCH("Websites of developers",'Data extraction-synthesis'!K42)),"X","")</f>
        <v/>
      </c>
      <c r="L43" s="52" t="str">
        <f>IF(ISNUMBER(SEARCH("Data available",'Data extraction-synthesis'!K42)),"X","")</f>
        <v/>
      </c>
      <c r="M43" s="52" t="str">
        <f>IF(ISNUMBER(SEARCH("No scoping phase reported",'Data extraction-synthesis'!K42)),"X","")</f>
        <v>X</v>
      </c>
      <c r="N43" s="52" t="str">
        <f>IF(ISNUMBER(SEARCH("N/A",'Data extraction-synthesis'!K42)),"X","")</f>
        <v/>
      </c>
      <c r="O43" s="9" t="str">
        <f t="shared" si="0"/>
        <v>N/A</v>
      </c>
      <c r="T43" s="44">
        <f>3/22</f>
        <v>0.13636363636363635</v>
      </c>
    </row>
    <row r="44" spans="1:20" ht="93">
      <c r="A44" s="56" t="s">
        <v>100</v>
      </c>
      <c r="B44" s="22" t="s">
        <v>101</v>
      </c>
      <c r="C44" s="52" t="str">
        <f>IF(ISNUMBER(SEARCH("Literature",'Data extraction-synthesis'!K43)),"X","")</f>
        <v/>
      </c>
      <c r="D44" s="105" t="str">
        <f>IF(ISNUMBER(SEARCH("Interviews with experts",'Data extraction-synthesis'!K43)),"X","")</f>
        <v>X</v>
      </c>
      <c r="E44" s="52" t="str">
        <f>IF(ISNUMBER(SEARCH("Survey with experts/Expert opinion",'Data extraction-synthesis'!K43)),"X","")</f>
        <v/>
      </c>
      <c r="F44" s="52" t="str">
        <f>IF(ISNUMBER(SEARCH("Ethnographic interviews",'Data extraction-synthesis'!K43)),"X","")</f>
        <v/>
      </c>
      <c r="G44" s="52" t="str">
        <f>IF(ISNUMBER(SEARCH("Reports",'Data extraction-synthesis'!K43)),"X","")</f>
        <v/>
      </c>
      <c r="H44" s="52" t="str">
        <f>IF(ISNUMBER(SEARCH("Questionnaire provided to expert",'Data extraction-synthesis'!K43)),"X","")</f>
        <v/>
      </c>
      <c r="I44" s="52" t="str">
        <f>IF(ISNUMBER(SEARCH("Field research",'Data extraction-synthesis'!K43)),"X","")</f>
        <v/>
      </c>
      <c r="J44" s="52" t="str">
        <f>IF(ISNUMBER(SEARCH("Policies",'Data extraction-synthesis'!K43)),"X","")</f>
        <v/>
      </c>
      <c r="K44" s="52" t="str">
        <f>IF(ISNUMBER(SEARCH("Websites of developers",'Data extraction-synthesis'!K43)),"X","")</f>
        <v/>
      </c>
      <c r="L44" s="52" t="str">
        <f>IF(ISNUMBER(SEARCH("Data available",'Data extraction-synthesis'!K43)),"X","")</f>
        <v/>
      </c>
      <c r="M44" s="52" t="str">
        <f>IF(ISNUMBER(SEARCH("No scoping phase reported",'Data extraction-synthesis'!K43)),"X","")</f>
        <v/>
      </c>
      <c r="N44" s="52" t="str">
        <f>IF(ISNUMBER(SEARCH("N/A",'Data extraction-synthesis'!K43)),"X","")</f>
        <v/>
      </c>
      <c r="O44" s="9" t="str">
        <f t="shared" si="0"/>
        <v>NO</v>
      </c>
      <c r="T44" t="s">
        <v>355</v>
      </c>
    </row>
    <row r="45" spans="1:15" ht="198.6">
      <c r="A45" s="56" t="s">
        <v>61</v>
      </c>
      <c r="B45" s="22" t="s">
        <v>103</v>
      </c>
      <c r="C45" s="52" t="str">
        <f>IF(ISNUMBER(SEARCH("Literature",'Data extraction-synthesis'!K44)),"X","")</f>
        <v/>
      </c>
      <c r="D45" s="52" t="str">
        <f>IF(ISNUMBER(SEARCH("Interviews with experts",'Data extraction-synthesis'!K44)),"X","")</f>
        <v/>
      </c>
      <c r="E45" s="52" t="str">
        <f>IF(ISNUMBER(SEARCH("Survey with experts/Expert opinion",'Data extraction-synthesis'!K44)),"X","")</f>
        <v/>
      </c>
      <c r="F45" s="52" t="str">
        <f>IF(ISNUMBER(SEARCH("Ethnographic interviews",'Data extraction-synthesis'!K44)),"X","")</f>
        <v/>
      </c>
      <c r="G45" s="52" t="str">
        <f>IF(ISNUMBER(SEARCH("Reports",'Data extraction-synthesis'!K44)),"X","")</f>
        <v/>
      </c>
      <c r="H45" s="52" t="str">
        <f>IF(ISNUMBER(SEARCH("Questionnaire provided to expert",'Data extraction-synthesis'!K44)),"X","")</f>
        <v/>
      </c>
      <c r="I45" s="52" t="str">
        <f>IF(ISNUMBER(SEARCH("Field research",'Data extraction-synthesis'!K44)),"X","")</f>
        <v/>
      </c>
      <c r="J45" s="52" t="str">
        <f>IF(ISNUMBER(SEARCH("Policies",'Data extraction-synthesis'!K44)),"X","")</f>
        <v/>
      </c>
      <c r="K45" s="52" t="str">
        <f>IF(ISNUMBER(SEARCH("Websites of developers",'Data extraction-synthesis'!K44)),"X","")</f>
        <v/>
      </c>
      <c r="L45" s="52" t="str">
        <f>IF(ISNUMBER(SEARCH("Data available",'Data extraction-synthesis'!K44)),"X","")</f>
        <v/>
      </c>
      <c r="M45" s="52" t="str">
        <f>IF(ISNUMBER(SEARCH("No scoping phase reported",'Data extraction-synthesis'!K44)),"X","")</f>
        <v>X</v>
      </c>
      <c r="N45" s="52" t="str">
        <f>IF(ISNUMBER(SEARCH("N/A",'Data extraction-synthesis'!K44)),"X","")</f>
        <v/>
      </c>
      <c r="O45" s="9" t="str">
        <f t="shared" si="0"/>
        <v>N/A</v>
      </c>
    </row>
    <row r="46" spans="1:15" ht="53.4">
      <c r="A46" s="56" t="s">
        <v>347</v>
      </c>
      <c r="B46" s="4" t="s">
        <v>348</v>
      </c>
      <c r="C46" s="52" t="str">
        <f>IF(ISNUMBER(SEARCH("Literature",'Data extraction-synthesis'!K45)),"X","")</f>
        <v/>
      </c>
      <c r="D46" s="52" t="str">
        <f>IF(ISNUMBER(SEARCH("Interviews with experts",'Data extraction-synthesis'!K45)),"X","")</f>
        <v/>
      </c>
      <c r="E46" s="52" t="str">
        <f>IF(ISNUMBER(SEARCH("Survey with experts/Expert opinion",'Data extraction-synthesis'!K45)),"X","")</f>
        <v/>
      </c>
      <c r="F46" s="52" t="str">
        <f>IF(ISNUMBER(SEARCH("Ethnographic interviews",'Data extraction-synthesis'!K45)),"X","")</f>
        <v/>
      </c>
      <c r="G46" s="52" t="str">
        <f>IF(ISNUMBER(SEARCH("Reports",'Data extraction-synthesis'!K45)),"X","")</f>
        <v/>
      </c>
      <c r="H46" s="52" t="str">
        <f>IF(ISNUMBER(SEARCH("Questionnaire provided to expert",'Data extraction-synthesis'!K45)),"X","")</f>
        <v/>
      </c>
      <c r="I46" s="52" t="str">
        <f>IF(ISNUMBER(SEARCH("Field research",'Data extraction-synthesis'!K45)),"X","")</f>
        <v/>
      </c>
      <c r="J46" s="52" t="str">
        <f>IF(ISNUMBER(SEARCH("Policies",'Data extraction-synthesis'!K45)),"X","")</f>
        <v/>
      </c>
      <c r="K46" s="52" t="str">
        <f>IF(ISNUMBER(SEARCH("Websites of developers",'Data extraction-synthesis'!K45)),"X","")</f>
        <v/>
      </c>
      <c r="L46" s="52" t="str">
        <f>IF(ISNUMBER(SEARCH("Data available",'Data extraction-synthesis'!K45)),"X","")</f>
        <v/>
      </c>
      <c r="M46" s="52" t="str">
        <f>IF(ISNUMBER(SEARCH("No scoping phase reported",'Data extraction-synthesis'!K45)),"X","")</f>
        <v>X</v>
      </c>
      <c r="N46" s="52" t="str">
        <f>IF(ISNUMBER(SEARCH("N/A",'Data extraction-synthesis'!K45)),"X","")</f>
        <v/>
      </c>
      <c r="O46" s="9" t="str">
        <f t="shared" si="0"/>
        <v>N/A</v>
      </c>
    </row>
    <row r="47" spans="2:14" ht="15.75">
      <c r="B47" s="23" t="s">
        <v>180</v>
      </c>
      <c r="C47" s="29">
        <f>COUNTIF(C3:C46,"X")</f>
        <v>8</v>
      </c>
      <c r="D47" s="29">
        <f aca="true" t="shared" si="1" ref="D47:N47">COUNTIF(D3:D46,"X")</f>
        <v>3</v>
      </c>
      <c r="E47" s="29">
        <f t="shared" si="1"/>
        <v>15</v>
      </c>
      <c r="F47" s="29">
        <f t="shared" si="1"/>
        <v>1</v>
      </c>
      <c r="G47" s="29">
        <f t="shared" si="1"/>
        <v>2</v>
      </c>
      <c r="H47" s="29">
        <f t="shared" si="1"/>
        <v>1</v>
      </c>
      <c r="I47" s="29">
        <f t="shared" si="1"/>
        <v>1</v>
      </c>
      <c r="J47" s="29">
        <f t="shared" si="1"/>
        <v>1</v>
      </c>
      <c r="K47" s="29">
        <f t="shared" si="1"/>
        <v>1</v>
      </c>
      <c r="L47" s="29">
        <f t="shared" si="1"/>
        <v>1</v>
      </c>
      <c r="M47" s="29">
        <f t="shared" si="1"/>
        <v>22</v>
      </c>
      <c r="N47" s="29">
        <f t="shared" si="1"/>
        <v>0</v>
      </c>
    </row>
    <row r="48" spans="1:16" ht="15.75">
      <c r="A48" s="56"/>
      <c r="C48" s="106">
        <f aca="true" t="shared" si="2" ref="C48:L48">C47/22</f>
        <v>0.36363636363636365</v>
      </c>
      <c r="D48" s="106">
        <f t="shared" si="2"/>
        <v>0.13636363636363635</v>
      </c>
      <c r="E48" s="106">
        <f t="shared" si="2"/>
        <v>0.6818181818181818</v>
      </c>
      <c r="F48" s="106">
        <f t="shared" si="2"/>
        <v>0.045454545454545456</v>
      </c>
      <c r="G48" s="106">
        <f t="shared" si="2"/>
        <v>0.09090909090909091</v>
      </c>
      <c r="H48" s="106">
        <f t="shared" si="2"/>
        <v>0.045454545454545456</v>
      </c>
      <c r="I48" s="106">
        <f t="shared" si="2"/>
        <v>0.045454545454545456</v>
      </c>
      <c r="J48" s="106">
        <f t="shared" si="2"/>
        <v>0.045454545454545456</v>
      </c>
      <c r="K48" s="106">
        <f t="shared" si="2"/>
        <v>0.045454545454545456</v>
      </c>
      <c r="L48" s="106">
        <f t="shared" si="2"/>
        <v>0.045454545454545456</v>
      </c>
      <c r="M48" s="106">
        <f>M47/22</f>
        <v>1</v>
      </c>
      <c r="N48" s="106">
        <f>N47/22</f>
        <v>0</v>
      </c>
      <c r="P48" s="10"/>
    </row>
    <row r="50" ht="15.75">
      <c r="Q50" s="44"/>
    </row>
    <row r="68" ht="15.75">
      <c r="V68" s="44"/>
    </row>
  </sheetData>
  <sheetProtection sheet="1" objects="1" scenarios="1"/>
  <mergeCells count="1">
    <mergeCell ref="C1:N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48"/>
  <sheetViews>
    <sheetView zoomScale="70" zoomScaleNormal="70" workbookViewId="0" topLeftCell="A1">
      <pane xSplit="2" ySplit="2" topLeftCell="C39" activePane="bottomRight" state="frozen"/>
      <selection pane="topRight" activeCell="B1" sqref="B1"/>
      <selection pane="bottomLeft" activeCell="A3" sqref="A3"/>
      <selection pane="bottomRight" activeCell="Q9" sqref="Q9"/>
    </sheetView>
  </sheetViews>
  <sheetFormatPr defaultColWidth="9.00390625" defaultRowHeight="15.75"/>
  <cols>
    <col min="1" max="1" width="13.625" style="0" customWidth="1"/>
    <col min="2" max="2" width="23.75390625" style="0" customWidth="1"/>
    <col min="3" max="3" width="9.00390625" style="0" customWidth="1"/>
    <col min="4" max="4" width="12.375" style="0" customWidth="1"/>
    <col min="5" max="5" width="13.625" style="0" customWidth="1"/>
    <col min="6" max="6" width="12.625" style="0" customWidth="1"/>
    <col min="7" max="7" width="9.00390625" style="0" customWidth="1"/>
    <col min="9" max="9" width="11.625" style="0" customWidth="1"/>
    <col min="10" max="10" width="14.00390625" style="0" customWidth="1"/>
    <col min="11" max="11" width="14.125" style="0" customWidth="1"/>
    <col min="12" max="12" width="12.625" style="0" customWidth="1"/>
    <col min="13" max="13" width="13.625" style="0" customWidth="1"/>
    <col min="14" max="14" width="15.625" style="0" customWidth="1"/>
    <col min="15" max="15" width="11.875" style="0" customWidth="1"/>
    <col min="16" max="16" width="16.75390625" style="0" customWidth="1"/>
    <col min="17" max="17" width="17.75390625" style="0" customWidth="1"/>
    <col min="18" max="18" width="13.50390625" style="0" customWidth="1"/>
    <col min="20" max="20" width="21.875" style="0" bestFit="1" customWidth="1"/>
    <col min="21" max="21" width="23.25390625" style="0" customWidth="1"/>
    <col min="29" max="29" width="13.875" style="0" customWidth="1"/>
  </cols>
  <sheetData>
    <row r="1" spans="3:14" ht="48" customHeight="1">
      <c r="C1" s="189" t="s">
        <v>176</v>
      </c>
      <c r="D1" s="190"/>
      <c r="E1" s="190"/>
      <c r="F1" s="190"/>
      <c r="G1" s="190"/>
      <c r="H1" s="190"/>
      <c r="I1" s="190"/>
      <c r="J1" s="190"/>
      <c r="K1" s="190"/>
      <c r="L1" s="190"/>
      <c r="M1" s="190"/>
      <c r="N1" s="190"/>
    </row>
    <row r="2" spans="1:21" ht="40.2">
      <c r="A2" s="87" t="s">
        <v>447</v>
      </c>
      <c r="B2" s="87" t="s">
        <v>2</v>
      </c>
      <c r="C2" s="88" t="s">
        <v>29</v>
      </c>
      <c r="D2" s="89" t="s">
        <v>109</v>
      </c>
      <c r="E2" s="89" t="s">
        <v>113</v>
      </c>
      <c r="F2" s="89" t="s">
        <v>15</v>
      </c>
      <c r="G2" s="89" t="s">
        <v>357</v>
      </c>
      <c r="H2" s="89" t="s">
        <v>279</v>
      </c>
      <c r="I2" s="89" t="s">
        <v>122</v>
      </c>
      <c r="J2" s="89" t="s">
        <v>158</v>
      </c>
      <c r="K2" s="89" t="s">
        <v>129</v>
      </c>
      <c r="L2" s="89" t="s">
        <v>131</v>
      </c>
      <c r="M2" s="89" t="s">
        <v>135</v>
      </c>
      <c r="N2" s="89" t="s">
        <v>206</v>
      </c>
      <c r="O2" s="11" t="s">
        <v>177</v>
      </c>
      <c r="P2" s="11" t="s">
        <v>178</v>
      </c>
      <c r="Q2" s="11" t="s">
        <v>179</v>
      </c>
      <c r="T2" s="47" t="s">
        <v>497</v>
      </c>
      <c r="U2" s="66" t="s">
        <v>353</v>
      </c>
    </row>
    <row r="3" spans="1:24" ht="40.2">
      <c r="A3" s="56" t="s">
        <v>11</v>
      </c>
      <c r="B3" s="19" t="s">
        <v>12</v>
      </c>
      <c r="C3" s="52" t="str">
        <f>IF(ISNUMBER(SEARCH("Literature",'Data extraction-synthesis'!$I$2)),"X","")</f>
        <v>X</v>
      </c>
      <c r="D3" s="52" t="str">
        <f>IF(ISNUMBER(SEARCH("Industry standard",'Data extraction-synthesis'!I2)),"X","")</f>
        <v/>
      </c>
      <c r="E3" s="52" t="str">
        <f>IF(ISNUMBER(SEARCH("Guidelines",'Data extraction-synthesis'!$I$2)),"X","")</f>
        <v/>
      </c>
      <c r="F3" s="52" t="str">
        <f>IF(ISNUMBER(SEARCH("Consensus meeting inputs",'Data extraction-synthesis'!$I$2)),"X","")</f>
        <v/>
      </c>
      <c r="G3" s="52"/>
      <c r="H3" s="52" t="str">
        <f>IF(ISNUMBER(SEARCH("Meeting input",'Data extraction-synthesis'!I2)),"X","")</f>
        <v>X</v>
      </c>
      <c r="I3" s="52" t="str">
        <f>IF(ISNUMBER(SEARCH("Available data",'Data extraction-synthesis'!$I$2)),"X","")</f>
        <v/>
      </c>
      <c r="J3" s="52" t="str">
        <f>IF(ISNUMBER(SEARCH("Field observations",'Data extraction-synthesis'!$I$2)),"X","")</f>
        <v/>
      </c>
      <c r="K3" s="52" t="str">
        <f>IF(ISNUMBER(SEARCH("Laboratory evaluations",'Data extraction-synthesis'!$I$2)),"X","")</f>
        <v/>
      </c>
      <c r="L3" s="52" t="str">
        <f>IF(ISNUMBER(SEARCH("Models",'Data extraction-synthesis'!I2)),"X","")</f>
        <v/>
      </c>
      <c r="M3" s="52" t="str">
        <f>IF(ISNUMBER(SEARCH("Early usability studies",'Data extraction-synthesis'!$I$2)),"X","")</f>
        <v/>
      </c>
      <c r="N3" s="52" t="str">
        <f>IF(ISNUMBER(SEARCH("No input sources reported",'Data extraction-synthesis'!I2)),"X","")</f>
        <v/>
      </c>
      <c r="O3" s="9" t="str">
        <f aca="true" t="shared" si="0" ref="O3:O46">IF(N3="X","N/A",IF((COUNTIF(C3:N3,"X"))&gt;1,"YES","NO"))</f>
        <v>YES</v>
      </c>
      <c r="P3" s="21">
        <f>COUNTIF(O3:O46,"NO")/44</f>
        <v>0.20454545454545456</v>
      </c>
      <c r="Q3" s="21">
        <f>COUNTIF(O3:O46,"YES")/44</f>
        <v>0.5454545454545454</v>
      </c>
      <c r="R3">
        <f>Q3*44</f>
        <v>24</v>
      </c>
      <c r="T3" t="s">
        <v>498</v>
      </c>
      <c r="X3" t="s">
        <v>373</v>
      </c>
    </row>
    <row r="4" spans="1:25" ht="53.4">
      <c r="A4" s="56" t="s">
        <v>19</v>
      </c>
      <c r="B4" s="19" t="s">
        <v>20</v>
      </c>
      <c r="C4" s="52" t="str">
        <f>IF(ISNUMBER(SEARCH("Literature",'Data extraction-synthesis'!I3)),"X","")</f>
        <v>X</v>
      </c>
      <c r="D4" s="52" t="str">
        <f>IF(ISNUMBER(SEARCH("Industry standard",'Data extraction-synthesis'!I3)),"X","")</f>
        <v/>
      </c>
      <c r="E4" s="52" t="str">
        <f>IF(ISNUMBER(SEARCH("Guidelines",'Data extraction-synthesis'!I3)),"X","")</f>
        <v/>
      </c>
      <c r="F4" s="52" t="str">
        <f>IF(ISNUMBER(SEARCH("Consensus meeting inputs",'Data extraction-synthesis'!I3)),"X","")</f>
        <v/>
      </c>
      <c r="G4" s="52" t="s">
        <v>208</v>
      </c>
      <c r="H4" s="52" t="str">
        <f>IF(ISNUMBER(SEARCH("Meeting input",'Data extraction-synthesis'!I3)),"X","")</f>
        <v/>
      </c>
      <c r="I4" s="52" t="str">
        <f>IF(ISNUMBER(SEARCH("Available data",'Data extraction-synthesis'!I3)),"X","")</f>
        <v/>
      </c>
      <c r="J4" s="52" t="str">
        <f>IF(ISNUMBER(SEARCH("Field observations",'Data extraction-synthesis'!I3)),"X","")</f>
        <v/>
      </c>
      <c r="K4" s="52" t="str">
        <f>IF(ISNUMBER(SEARCH("Laboratory evaluations",'Data extraction-synthesis'!I3)),"X","")</f>
        <v/>
      </c>
      <c r="L4" s="52" t="str">
        <f>IF(ISNUMBER(SEARCH("Models",'Data extraction-synthesis'!I3)),"X","")</f>
        <v>X</v>
      </c>
      <c r="M4" s="52" t="str">
        <f>IF(ISNUMBER(SEARCH("Early usability studies",'Data extraction-synthesis'!I3)),"X","")</f>
        <v/>
      </c>
      <c r="N4" s="52" t="str">
        <f>IF(ISNUMBER(SEARCH("No input sources reported",'Data extraction-synthesis'!I3)),"X","")</f>
        <v/>
      </c>
      <c r="O4" s="9" t="str">
        <f t="shared" si="0"/>
        <v>YES</v>
      </c>
      <c r="P4">
        <f>P3*44</f>
        <v>9</v>
      </c>
      <c r="R4">
        <f>P3*44</f>
        <v>9</v>
      </c>
      <c r="T4" t="s">
        <v>498</v>
      </c>
      <c r="W4" t="s">
        <v>361</v>
      </c>
      <c r="X4">
        <f>COUNTIF(N3:N46,"")</f>
        <v>33</v>
      </c>
      <c r="Y4" s="44">
        <f>X4/44</f>
        <v>0.75</v>
      </c>
    </row>
    <row r="5" spans="1:25" ht="46.8">
      <c r="A5" s="56" t="s">
        <v>22</v>
      </c>
      <c r="B5" s="19" t="s">
        <v>23</v>
      </c>
      <c r="C5" s="52" t="str">
        <f>IF(ISNUMBER(SEARCH("Literature",'Data extraction-synthesis'!I4)),"X","")</f>
        <v>X</v>
      </c>
      <c r="D5" s="52" t="str">
        <f>IF(ISNUMBER(SEARCH("Industry standard",'Data extraction-synthesis'!I4)),"X","")</f>
        <v/>
      </c>
      <c r="E5" s="52" t="str">
        <f>IF(ISNUMBER(SEARCH("Guidelines",'Data extraction-synthesis'!I4)),"X","")</f>
        <v/>
      </c>
      <c r="F5" s="52" t="str">
        <f>IF(ISNUMBER(SEARCH("Consensus meeting inputs",'Data extraction-synthesis'!I4)),"X","")</f>
        <v/>
      </c>
      <c r="G5" s="52" t="s">
        <v>208</v>
      </c>
      <c r="H5" s="52" t="str">
        <f>IF(ISNUMBER(SEARCH("Meeting input",'Data extraction-synthesis'!I4)),"X","")</f>
        <v/>
      </c>
      <c r="I5" s="52" t="str">
        <f>IF(ISNUMBER(SEARCH("Available data",'Data extraction-synthesis'!I4)),"X","")</f>
        <v/>
      </c>
      <c r="J5" s="52" t="str">
        <f>IF(ISNUMBER(SEARCH("Field observations",'Data extraction-synthesis'!I4)),"X","")</f>
        <v/>
      </c>
      <c r="K5" s="52" t="str">
        <f>IF(ISNUMBER(SEARCH("Laboratory evaluations",'Data extraction-synthesis'!I4)),"X","")</f>
        <v/>
      </c>
      <c r="L5" s="52" t="str">
        <f>IF(ISNUMBER(SEARCH("Models",'Data extraction-synthesis'!I4)),"X","")</f>
        <v>X</v>
      </c>
      <c r="M5" s="52" t="str">
        <f>IF(ISNUMBER(SEARCH("Early usability studies",'Data extraction-synthesis'!I4)),"X","")</f>
        <v/>
      </c>
      <c r="N5" s="52" t="str">
        <f>IF(ISNUMBER(SEARCH("No input sources reported",'Data extraction-synthesis'!I4)),"X","")</f>
        <v/>
      </c>
      <c r="O5" s="9" t="str">
        <f t="shared" si="0"/>
        <v>YES</v>
      </c>
      <c r="P5">
        <f>3/5</f>
        <v>0.6</v>
      </c>
      <c r="S5" s="44">
        <f>9/44</f>
        <v>0.20454545454545456</v>
      </c>
      <c r="T5" s="112" t="s">
        <v>501</v>
      </c>
      <c r="W5" t="s">
        <v>360</v>
      </c>
      <c r="X5">
        <f>COUNTIF('Input TPP scoping phase source'!M3:M46,"")</f>
        <v>22</v>
      </c>
      <c r="Y5" s="44">
        <f>X5/44</f>
        <v>0.5</v>
      </c>
    </row>
    <row r="6" spans="1:25" ht="66.6">
      <c r="A6" s="56" t="s">
        <v>25</v>
      </c>
      <c r="B6" s="19" t="s">
        <v>26</v>
      </c>
      <c r="C6" s="52" t="str">
        <f>IF(ISNUMBER(SEARCH("Literature",'Data extraction-synthesis'!I5)),"X","")</f>
        <v>X</v>
      </c>
      <c r="D6" s="52" t="str">
        <f>IF(ISNUMBER(SEARCH("Industry standard",'Data extraction-synthesis'!I5)),"X","")</f>
        <v/>
      </c>
      <c r="E6" s="52" t="str">
        <f>IF(ISNUMBER(SEARCH("Guidelines",'Data extraction-synthesis'!I5)),"X","")</f>
        <v/>
      </c>
      <c r="F6" s="52" t="str">
        <f>IF(ISNUMBER(SEARCH("Consensus meeting inputs",'Data extraction-synthesis'!I5)),"X","")</f>
        <v/>
      </c>
      <c r="G6" s="52" t="s">
        <v>372</v>
      </c>
      <c r="H6" s="52" t="str">
        <f>IF(ISNUMBER(SEARCH("Meeting input",'Data extraction-synthesis'!I5)),"X","")</f>
        <v/>
      </c>
      <c r="I6" s="52" t="str">
        <f>IF(ISNUMBER(SEARCH("Available data",'Data extraction-synthesis'!I5)),"X","")</f>
        <v>X</v>
      </c>
      <c r="J6" s="52" t="str">
        <f>IF(ISNUMBER(SEARCH("Field observations",'Data extraction-synthesis'!I5)),"X","")</f>
        <v>X</v>
      </c>
      <c r="K6" s="52" t="str">
        <f>IF(ISNUMBER(SEARCH("Laboratory evaluations",'Data extraction-synthesis'!I5)),"X","")</f>
        <v/>
      </c>
      <c r="L6" s="52" t="str">
        <f>IF(ISNUMBER(SEARCH("Models",'Data extraction-synthesis'!I5)),"X","")</f>
        <v>X</v>
      </c>
      <c r="M6" s="52" t="str">
        <f>IF(ISNUMBER(SEARCH("Early usability studies",'Data extraction-synthesis'!I5)),"X","")</f>
        <v/>
      </c>
      <c r="N6" s="52" t="str">
        <f>IF(ISNUMBER(SEARCH("No input sources reported",'Data extraction-synthesis'!I5)),"X","")</f>
        <v/>
      </c>
      <c r="O6" s="9" t="str">
        <f t="shared" si="0"/>
        <v>YES</v>
      </c>
      <c r="T6" s="10" t="s">
        <v>498</v>
      </c>
      <c r="W6" s="10" t="s">
        <v>374</v>
      </c>
      <c r="X6">
        <f>COUNTIFS('Input source diagn accuracy'!N3:N46,"",'Input source diagn accuracy'!O3:O46,"")</f>
        <v>18</v>
      </c>
      <c r="Y6" s="44">
        <f>X6/44</f>
        <v>0.4090909090909091</v>
      </c>
    </row>
    <row r="7" spans="1:20" ht="66.6">
      <c r="A7" s="56" t="s">
        <v>31</v>
      </c>
      <c r="B7" s="19" t="s">
        <v>32</v>
      </c>
      <c r="C7" s="52" t="str">
        <f>IF(ISNUMBER(SEARCH("Literature",'Data extraction-synthesis'!I6)),"X","")</f>
        <v>X</v>
      </c>
      <c r="D7" s="52" t="str">
        <f>IF(ISNUMBER(SEARCH("Industry standard",'Data extraction-synthesis'!I6)),"X","")</f>
        <v/>
      </c>
      <c r="E7" s="52" t="str">
        <f>IF(ISNUMBER(SEARCH("Guidelines",'Data extraction-synthesis'!I6)),"X","")</f>
        <v/>
      </c>
      <c r="F7" s="52" t="str">
        <f>IF(ISNUMBER(SEARCH("Consensus meeting inputs",'Data extraction-synthesis'!I6)),"X","")</f>
        <v/>
      </c>
      <c r="G7" s="52" t="s">
        <v>208</v>
      </c>
      <c r="H7" s="52" t="str">
        <f>IF(ISNUMBER(SEARCH("Meeting input",'Data extraction-synthesis'!I6)),"X","")</f>
        <v/>
      </c>
      <c r="I7" s="52" t="str">
        <f>IF(ISNUMBER(SEARCH("Available data",'Data extraction-synthesis'!I6)),"X","")</f>
        <v/>
      </c>
      <c r="J7" s="52" t="str">
        <f>IF(ISNUMBER(SEARCH("Field observations",'Data extraction-synthesis'!I6)),"X","")</f>
        <v/>
      </c>
      <c r="K7" s="52" t="str">
        <f>IF(ISNUMBER(SEARCH("Laboratory evaluations",'Data extraction-synthesis'!I6)),"X","")</f>
        <v/>
      </c>
      <c r="L7" s="52" t="str">
        <f>IF(ISNUMBER(SEARCH("Models",'Data extraction-synthesis'!I6)),"X","")</f>
        <v>X</v>
      </c>
      <c r="M7" s="52" t="str">
        <f>IF(ISNUMBER(SEARCH("Early usability studies",'Data extraction-synthesis'!I6)),"X","")</f>
        <v/>
      </c>
      <c r="N7" s="52" t="str">
        <f>IF(ISNUMBER(SEARCH("No input sources reported",'Data extraction-synthesis'!I6)),"X","")</f>
        <v/>
      </c>
      <c r="O7" s="9" t="str">
        <f t="shared" si="0"/>
        <v>YES</v>
      </c>
      <c r="T7" s="10" t="s">
        <v>502</v>
      </c>
    </row>
    <row r="8" spans="1:20" ht="106.2">
      <c r="A8" s="56" t="s">
        <v>34</v>
      </c>
      <c r="B8" s="19" t="s">
        <v>35</v>
      </c>
      <c r="C8" s="52" t="str">
        <f>IF(ISNUMBER(SEARCH("Literature",'Data extraction-synthesis'!I7)),"X","")</f>
        <v>X</v>
      </c>
      <c r="D8" s="52" t="str">
        <f>IF(ISNUMBER(SEARCH("Industry standard",'Data extraction-synthesis'!I7)),"X","")</f>
        <v>X</v>
      </c>
      <c r="E8" s="52" t="str">
        <f>IF(ISNUMBER(SEARCH("Guidelines",'Data extraction-synthesis'!I7)),"X","")</f>
        <v/>
      </c>
      <c r="F8" s="52" t="str">
        <f>IF(ISNUMBER(SEARCH("Consensus meeting inputs",'Data extraction-synthesis'!I7)),"X","")</f>
        <v/>
      </c>
      <c r="G8" s="52" t="s">
        <v>208</v>
      </c>
      <c r="H8" s="52" t="str">
        <f>IF(ISNUMBER(SEARCH("Meeting input",'Data extraction-synthesis'!I7)),"X","")</f>
        <v/>
      </c>
      <c r="I8" s="52" t="str">
        <f>IF(ISNUMBER(SEARCH("Available data",'Data extraction-synthesis'!I7)),"X","")</f>
        <v/>
      </c>
      <c r="J8" s="52" t="str">
        <f>IF(ISNUMBER(SEARCH("Field observations",'Data extraction-synthesis'!I7)),"X","")</f>
        <v/>
      </c>
      <c r="K8" s="52" t="str">
        <f>IF(ISNUMBER(SEARCH("Laboratory evaluations",'Data extraction-synthesis'!I7)),"X","")</f>
        <v/>
      </c>
      <c r="L8" s="52" t="str">
        <f>IF(ISNUMBER(SEARCH("Models",'Data extraction-synthesis'!I7)),"X","")</f>
        <v/>
      </c>
      <c r="M8" s="52" t="str">
        <f>IF(ISNUMBER(SEARCH("Early usability studies",'Data extraction-synthesis'!I7)),"X","")</f>
        <v/>
      </c>
      <c r="N8" s="52" t="str">
        <f>IF(ISNUMBER(SEARCH("No input sources reported",'Data extraction-synthesis'!I7)),"X","")</f>
        <v/>
      </c>
      <c r="O8" s="9" t="str">
        <f t="shared" si="0"/>
        <v>YES</v>
      </c>
      <c r="T8" t="s">
        <v>498</v>
      </c>
    </row>
    <row r="9" spans="1:20" ht="66.6">
      <c r="A9" s="56" t="s">
        <v>58</v>
      </c>
      <c r="B9" s="19" t="s">
        <v>37</v>
      </c>
      <c r="C9" s="52" t="str">
        <f>IF(ISNUMBER(SEARCH("Literature",'Data extraction-synthesis'!I8)),"X","")</f>
        <v>X</v>
      </c>
      <c r="D9" s="52" t="str">
        <f>IF(ISNUMBER(SEARCH("Industry standard",'Data extraction-synthesis'!I8)),"X","")</f>
        <v/>
      </c>
      <c r="E9" s="52" t="str">
        <f>IF(ISNUMBER(SEARCH("Guidelines",'Data extraction-synthesis'!I8)),"X","")</f>
        <v/>
      </c>
      <c r="F9" s="52" t="str">
        <f>IF(ISNUMBER(SEARCH("Consensus meeting inputs",'Data extraction-synthesis'!I8)),"X","")</f>
        <v/>
      </c>
      <c r="G9" s="52" t="s">
        <v>208</v>
      </c>
      <c r="H9" s="52" t="str">
        <f>IF(ISNUMBER(SEARCH("Meeting input",'Data extraction-synthesis'!I8)),"X","")</f>
        <v/>
      </c>
      <c r="I9" s="52" t="str">
        <f>IF(ISNUMBER(SEARCH("Available data",'Data extraction-synthesis'!I8)),"X","")</f>
        <v/>
      </c>
      <c r="J9" s="52" t="str">
        <f>IF(ISNUMBER(SEARCH("Field observations",'Data extraction-synthesis'!I8)),"X","")</f>
        <v/>
      </c>
      <c r="K9" s="52" t="str">
        <f>IF(ISNUMBER(SEARCH("Laboratory evaluations",'Data extraction-synthesis'!I8)),"X","")</f>
        <v/>
      </c>
      <c r="L9" s="52" t="str">
        <f>IF(ISNUMBER(SEARCH("Models",'Data extraction-synthesis'!I8)),"X","")</f>
        <v>X</v>
      </c>
      <c r="M9" s="52" t="str">
        <f>IF(ISNUMBER(SEARCH("Early usability studies",'Data extraction-synthesis'!I8)),"X","")</f>
        <v/>
      </c>
      <c r="N9" s="52" t="str">
        <f>IF(ISNUMBER(SEARCH("No input sources reported",'Data extraction-synthesis'!I8)),"X","")</f>
        <v/>
      </c>
      <c r="O9" s="9" t="str">
        <f t="shared" si="0"/>
        <v>YES</v>
      </c>
      <c r="T9" s="10" t="s">
        <v>502</v>
      </c>
    </row>
    <row r="10" spans="1:20" ht="93">
      <c r="A10" s="56" t="s">
        <v>38</v>
      </c>
      <c r="B10" s="19" t="s">
        <v>39</v>
      </c>
      <c r="C10" s="52" t="str">
        <f>IF(ISNUMBER(SEARCH("Literature",'Data extraction-synthesis'!I9)),"X","")</f>
        <v>X</v>
      </c>
      <c r="D10" s="52" t="str">
        <f>IF(ISNUMBER(SEARCH("Industry standard",'Data extraction-synthesis'!I9)),"X","")</f>
        <v/>
      </c>
      <c r="E10" s="52" t="str">
        <f>IF(ISNUMBER(SEARCH("Guidelines",'Data extraction-synthesis'!I9)),"X","")</f>
        <v/>
      </c>
      <c r="F10" s="52" t="str">
        <f>IF(ISNUMBER(SEARCH("Consensus meeting inputs",'Data extraction-synthesis'!I9)),"X","")</f>
        <v/>
      </c>
      <c r="G10" s="52" t="s">
        <v>208</v>
      </c>
      <c r="H10" s="52" t="str">
        <f>IF(ISNUMBER(SEARCH("Meeting input",'Data extraction-synthesis'!I9)),"X","")</f>
        <v>X</v>
      </c>
      <c r="I10" s="52" t="str">
        <f>IF(ISNUMBER(SEARCH("Available data",'Data extraction-synthesis'!I9)),"X","")</f>
        <v/>
      </c>
      <c r="J10" s="52" t="str">
        <f>IF(ISNUMBER(SEARCH("Field observations",'Data extraction-synthesis'!I9)),"X","")</f>
        <v/>
      </c>
      <c r="K10" s="52" t="str">
        <f>IF(ISNUMBER(SEARCH("Laboratory evaluations",'Data extraction-synthesis'!I9)),"X","")</f>
        <v/>
      </c>
      <c r="L10" s="52" t="str">
        <f>IF(ISNUMBER(SEARCH("Models",'Data extraction-synthesis'!I9)),"X","")</f>
        <v/>
      </c>
      <c r="M10" s="52" t="str">
        <f>IF(ISNUMBER(SEARCH("Early usability studies",'Data extraction-synthesis'!I9)),"X","")</f>
        <v/>
      </c>
      <c r="N10" s="52" t="str">
        <f>IF(ISNUMBER(SEARCH("No input sources reported",'Data extraction-synthesis'!I9)),"X","")</f>
        <v/>
      </c>
      <c r="O10" s="9" t="str">
        <f t="shared" si="0"/>
        <v>YES</v>
      </c>
      <c r="T10" t="s">
        <v>498</v>
      </c>
    </row>
    <row r="11" spans="1:20" ht="79.8">
      <c r="A11" s="56" t="s">
        <v>41</v>
      </c>
      <c r="B11" s="19" t="s">
        <v>42</v>
      </c>
      <c r="C11" s="52" t="str">
        <f>IF(ISNUMBER(SEARCH("Literature",'Data extraction-synthesis'!I10)),"X","")</f>
        <v>X</v>
      </c>
      <c r="D11" s="52" t="str">
        <f>IF(ISNUMBER(SEARCH("Industry standard",'Data extraction-synthesis'!I10)),"X","")</f>
        <v/>
      </c>
      <c r="E11" s="52" t="str">
        <f>IF(ISNUMBER(SEARCH("Guidelines",'Data extraction-synthesis'!I10)),"X","")</f>
        <v>X</v>
      </c>
      <c r="F11" s="52" t="str">
        <f>IF(ISNUMBER(SEARCH("Consensus meeting inputs",'Data extraction-synthesis'!I10)),"X","")</f>
        <v/>
      </c>
      <c r="G11" s="52" t="s">
        <v>208</v>
      </c>
      <c r="H11" s="52" t="str">
        <f>IF(ISNUMBER(SEARCH("Meeting input",'Data extraction-synthesis'!I10)),"X","")</f>
        <v>X</v>
      </c>
      <c r="I11" s="52" t="str">
        <f>IF(ISNUMBER(SEARCH("Available data",'Data extraction-synthesis'!I10)),"X","")</f>
        <v/>
      </c>
      <c r="J11" s="52" t="str">
        <f>IF(ISNUMBER(SEARCH("Field observations",'Data extraction-synthesis'!I10)),"X","")</f>
        <v/>
      </c>
      <c r="K11" s="52" t="str">
        <f>IF(ISNUMBER(SEARCH("Laboratory evaluations",'Data extraction-synthesis'!I10)),"X","")</f>
        <v/>
      </c>
      <c r="L11" s="52" t="str">
        <f>IF(ISNUMBER(SEARCH("Models",'Data extraction-synthesis'!I10)),"X","")</f>
        <v/>
      </c>
      <c r="M11" s="52" t="str">
        <f>IF(ISNUMBER(SEARCH("Early usability studies",'Data extraction-synthesis'!I10)),"X","")</f>
        <v/>
      </c>
      <c r="N11" s="52" t="str">
        <f>IF(ISNUMBER(SEARCH("No input sources reported",'Data extraction-synthesis'!I10)),"X","")</f>
        <v/>
      </c>
      <c r="O11" s="9" t="str">
        <f t="shared" si="0"/>
        <v>YES</v>
      </c>
      <c r="T11" s="10" t="s">
        <v>506</v>
      </c>
    </row>
    <row r="12" spans="1:20" ht="53.4">
      <c r="A12" s="56" t="s">
        <v>43</v>
      </c>
      <c r="B12" s="19" t="s">
        <v>44</v>
      </c>
      <c r="C12" s="52" t="str">
        <f>IF(ISNUMBER(SEARCH("Literature",'Data extraction-synthesis'!I11)),"X","")</f>
        <v>X</v>
      </c>
      <c r="D12" s="52" t="str">
        <f>IF(ISNUMBER(SEARCH("Industry standard",'Data extraction-synthesis'!I11)),"X","")</f>
        <v/>
      </c>
      <c r="E12" s="52" t="str">
        <f>IF(ISNUMBER(SEARCH("Guidelines",'Data extraction-synthesis'!I11)),"X","")</f>
        <v/>
      </c>
      <c r="F12" s="52" t="str">
        <f>IF(ISNUMBER(SEARCH("Consensus meeting inputs",'Data extraction-synthesis'!I11)),"X","")</f>
        <v/>
      </c>
      <c r="G12" s="52" t="s">
        <v>372</v>
      </c>
      <c r="H12" s="52" t="str">
        <f>IF(ISNUMBER(SEARCH("Meeting input",'Data extraction-synthesis'!I11)),"X","")</f>
        <v/>
      </c>
      <c r="I12" s="52" t="str">
        <f>IF(ISNUMBER(SEARCH("Available data",'Data extraction-synthesis'!I11)),"X","")</f>
        <v/>
      </c>
      <c r="J12" s="52" t="str">
        <f>IF(ISNUMBER(SEARCH("Field observations",'Data extraction-synthesis'!I11)),"X","")</f>
        <v/>
      </c>
      <c r="K12" s="52" t="str">
        <f>IF(ISNUMBER(SEARCH("Laboratory evaluations",'Data extraction-synthesis'!I11)),"X","")</f>
        <v/>
      </c>
      <c r="L12" s="52" t="str">
        <f>IF(ISNUMBER(SEARCH("Models",'Data extraction-synthesis'!I11)),"X","")</f>
        <v/>
      </c>
      <c r="M12" s="52" t="str">
        <f>IF(ISNUMBER(SEARCH("Early usability studies",'Data extraction-synthesis'!I11)),"X","")</f>
        <v/>
      </c>
      <c r="N12" s="52" t="str">
        <f>IF(ISNUMBER(SEARCH("No input sources reported",'Data extraction-synthesis'!I11)),"X","")</f>
        <v/>
      </c>
      <c r="O12" s="9" t="str">
        <f t="shared" si="0"/>
        <v>NO</v>
      </c>
      <c r="T12" t="s">
        <v>504</v>
      </c>
    </row>
    <row r="13" spans="1:21" ht="66.6">
      <c r="A13" s="56" t="s">
        <v>45</v>
      </c>
      <c r="B13" s="19" t="s">
        <v>46</v>
      </c>
      <c r="C13" s="52" t="str">
        <f>IF(ISNUMBER(SEARCH("Literature",'Data extraction-synthesis'!I12)),"X","")</f>
        <v/>
      </c>
      <c r="D13" s="52" t="str">
        <f>IF(ISNUMBER(SEARCH("Industry standard",'Data extraction-synthesis'!I12)),"X","")</f>
        <v/>
      </c>
      <c r="E13" s="52" t="str">
        <f>IF(ISNUMBER(SEARCH("Guidelines",'Data extraction-synthesis'!I12)),"X","")</f>
        <v/>
      </c>
      <c r="F13" s="52" t="str">
        <f>IF(ISNUMBER(SEARCH("Consensus meeting inputs",'Data extraction-synthesis'!I12)),"X","")</f>
        <v/>
      </c>
      <c r="G13" s="52"/>
      <c r="H13" s="52" t="str">
        <f>IF(ISNUMBER(SEARCH("Meeting input",'Data extraction-synthesis'!I12)),"X","")</f>
        <v>X</v>
      </c>
      <c r="I13" s="52" t="str">
        <f>IF(ISNUMBER(SEARCH("Available data",'Data extraction-synthesis'!I12)),"X","")</f>
        <v/>
      </c>
      <c r="J13" s="52" t="str">
        <f>IF(ISNUMBER(SEARCH("Field observations",'Data extraction-synthesis'!I12)),"X","")</f>
        <v/>
      </c>
      <c r="K13" s="52" t="str">
        <f>IF(ISNUMBER(SEARCH("Laboratory evaluations",'Data extraction-synthesis'!I12)),"X","")</f>
        <v/>
      </c>
      <c r="L13" s="52" t="str">
        <f>IF(ISNUMBER(SEARCH("Models",'Data extraction-synthesis'!I12)),"X","")</f>
        <v/>
      </c>
      <c r="M13" s="52" t="str">
        <f>IF(ISNUMBER(SEARCH("Early usability studies",'Data extraction-synthesis'!I12)),"X","")</f>
        <v/>
      </c>
      <c r="N13" s="52" t="str">
        <f>IF(ISNUMBER(SEARCH("No input sources reported",'Data extraction-synthesis'!I12)),"X","")</f>
        <v/>
      </c>
      <c r="O13" s="9" t="str">
        <f t="shared" si="0"/>
        <v>NO</v>
      </c>
      <c r="U13" t="s">
        <v>279</v>
      </c>
    </row>
    <row r="14" spans="1:20" ht="53.4">
      <c r="A14" s="56" t="s">
        <v>48</v>
      </c>
      <c r="B14" s="19" t="s">
        <v>49</v>
      </c>
      <c r="C14" s="52" t="str">
        <f>IF(ISNUMBER(SEARCH("Literature",'Data extraction-synthesis'!I13)),"X","")</f>
        <v>X</v>
      </c>
      <c r="D14" s="52" t="str">
        <f>IF(ISNUMBER(SEARCH("Industry standard",'Data extraction-synthesis'!I13)),"X","")</f>
        <v/>
      </c>
      <c r="E14" s="52" t="str">
        <f>IF(ISNUMBER(SEARCH("Guidelines",'Data extraction-synthesis'!I13)),"X","")</f>
        <v/>
      </c>
      <c r="F14" s="52" t="str">
        <f>IF(ISNUMBER(SEARCH("Consensus meeting inputs",'Data extraction-synthesis'!I13)),"X","")</f>
        <v/>
      </c>
      <c r="G14" s="52" t="s">
        <v>208</v>
      </c>
      <c r="H14" s="52" t="str">
        <f>IF(ISNUMBER(SEARCH("Meeting input",'Data extraction-synthesis'!I13)),"X","")</f>
        <v/>
      </c>
      <c r="I14" s="52" t="str">
        <f>IF(ISNUMBER(SEARCH("Available data",'Data extraction-synthesis'!I13)),"X","")</f>
        <v/>
      </c>
      <c r="J14" s="52" t="str">
        <f>IF(ISNUMBER(SEARCH("Field observations",'Data extraction-synthesis'!I13)),"X","")</f>
        <v/>
      </c>
      <c r="K14" s="52" t="str">
        <f>IF(ISNUMBER(SEARCH("Laboratory evaluations",'Data extraction-synthesis'!I13)),"X","")</f>
        <v/>
      </c>
      <c r="L14" s="52" t="str">
        <f>IF(ISNUMBER(SEARCH("Models",'Data extraction-synthesis'!I13)),"X","")</f>
        <v>X</v>
      </c>
      <c r="M14" s="52" t="str">
        <f>IF(ISNUMBER(SEARCH("Early usability studies",'Data extraction-synthesis'!I13)),"X","")</f>
        <v/>
      </c>
      <c r="N14" s="52" t="str">
        <f>IF(ISNUMBER(SEARCH("No input sources reported",'Data extraction-synthesis'!I13)),"X","")</f>
        <v/>
      </c>
      <c r="O14" s="9" t="str">
        <f t="shared" si="0"/>
        <v>YES</v>
      </c>
      <c r="T14" s="10" t="s">
        <v>509</v>
      </c>
    </row>
    <row r="15" spans="1:15" ht="79.8">
      <c r="A15" s="56" t="s">
        <v>50</v>
      </c>
      <c r="B15" s="19" t="s">
        <v>51</v>
      </c>
      <c r="C15" s="52" t="str">
        <f>IF(ISNUMBER(SEARCH("Literature",'Data extraction-synthesis'!I14)),"X","")</f>
        <v/>
      </c>
      <c r="D15" s="52" t="str">
        <f>IF(ISNUMBER(SEARCH("Industry standard",'Data extraction-synthesis'!I14)),"X","")</f>
        <v/>
      </c>
      <c r="E15" s="52" t="str">
        <f>IF(ISNUMBER(SEARCH("Guidelines",'Data extraction-synthesis'!I14)),"X","")</f>
        <v/>
      </c>
      <c r="F15" s="52" t="str">
        <f>IF(ISNUMBER(SEARCH("Consensus meeting inputs",'Data extraction-synthesis'!I14)),"X","")</f>
        <v>X</v>
      </c>
      <c r="G15" s="52" t="s">
        <v>372</v>
      </c>
      <c r="H15" s="52"/>
      <c r="I15" s="52" t="str">
        <f>IF(ISNUMBER(SEARCH("Available data",'Data extraction-synthesis'!I14)),"X","")</f>
        <v/>
      </c>
      <c r="J15" s="52" t="str">
        <f>IF(ISNUMBER(SEARCH("Field observations",'Data extraction-synthesis'!I14)),"X","")</f>
        <v/>
      </c>
      <c r="K15" s="52" t="str">
        <f>IF(ISNUMBER(SEARCH("Laboratory evaluations",'Data extraction-synthesis'!I14)),"X","")</f>
        <v/>
      </c>
      <c r="L15" s="52" t="str">
        <f>IF(ISNUMBER(SEARCH("Models",'Data extraction-synthesis'!I14)),"X","")</f>
        <v/>
      </c>
      <c r="M15" s="52" t="str">
        <f>IF(ISNUMBER(SEARCH("Early usability studies",'Data extraction-synthesis'!I14)),"X","")</f>
        <v/>
      </c>
      <c r="N15" s="52" t="str">
        <f>IF(ISNUMBER(SEARCH("No input sources reported",'Data extraction-synthesis'!I14)),"X","")</f>
        <v/>
      </c>
      <c r="O15" s="9" t="str">
        <f t="shared" si="0"/>
        <v>NO</v>
      </c>
    </row>
    <row r="16" spans="1:20" ht="79.8">
      <c r="A16" s="56" t="s">
        <v>53</v>
      </c>
      <c r="B16" s="19" t="s">
        <v>54</v>
      </c>
      <c r="C16" s="52" t="str">
        <f>IF(ISNUMBER(SEARCH("Literature",'Data extraction-synthesis'!I15)),"X","")</f>
        <v>X</v>
      </c>
      <c r="D16" s="52" t="str">
        <f>IF(ISNUMBER(SEARCH("Industry standard",'Data extraction-synthesis'!I15)),"X","")</f>
        <v/>
      </c>
      <c r="E16" s="52" t="str">
        <f>IF(ISNUMBER(SEARCH("Guidelines",'Data extraction-synthesis'!I15)),"X","")</f>
        <v/>
      </c>
      <c r="F16" s="52" t="str">
        <f>IF(ISNUMBER(SEARCH("Consensus meeting inputs",'Data extraction-synthesis'!I15)),"X","")</f>
        <v>X</v>
      </c>
      <c r="G16" s="52" t="s">
        <v>208</v>
      </c>
      <c r="H16" s="52"/>
      <c r="I16" s="52" t="str">
        <f>IF(ISNUMBER(SEARCH("Available data",'Data extraction-synthesis'!I15)),"X","")</f>
        <v/>
      </c>
      <c r="J16" s="52" t="str">
        <f>IF(ISNUMBER(SEARCH("Field observations",'Data extraction-synthesis'!I15)),"X","")</f>
        <v/>
      </c>
      <c r="K16" s="52" t="str">
        <f>IF(ISNUMBER(SEARCH("Laboratory evaluations",'Data extraction-synthesis'!I15)),"X","")</f>
        <v/>
      </c>
      <c r="L16" s="52" t="str">
        <f>IF(ISNUMBER(SEARCH("Models",'Data extraction-synthesis'!I15)),"X","")</f>
        <v>X</v>
      </c>
      <c r="M16" s="52" t="str">
        <f>IF(ISNUMBER(SEARCH("Early usability studies",'Data extraction-synthesis'!I15)),"X","")</f>
        <v/>
      </c>
      <c r="N16" s="52" t="str">
        <f>IF(ISNUMBER(SEARCH("No input sources reported",'Data extraction-synthesis'!I15)),"X","")</f>
        <v/>
      </c>
      <c r="O16" s="9" t="str">
        <f t="shared" si="0"/>
        <v>YES</v>
      </c>
      <c r="T16" s="10" t="s">
        <v>511</v>
      </c>
    </row>
    <row r="17" spans="1:20" ht="66.6">
      <c r="A17" s="56" t="s">
        <v>55</v>
      </c>
      <c r="B17" s="19" t="s">
        <v>56</v>
      </c>
      <c r="C17" s="52" t="str">
        <f>IF(ISNUMBER(SEARCH("Literature",'Data extraction-synthesis'!I16)),"X","")</f>
        <v>X</v>
      </c>
      <c r="D17" s="52" t="str">
        <f>IF(ISNUMBER(SEARCH("Industry standard",'Data extraction-synthesis'!I16)),"X","")</f>
        <v/>
      </c>
      <c r="E17" s="52" t="str">
        <f>IF(ISNUMBER(SEARCH("Guidelines",'Data extraction-synthesis'!I16)),"X","")</f>
        <v/>
      </c>
      <c r="F17" s="52" t="str">
        <f>IF(ISNUMBER(SEARCH("Consensus meeting inputs",'Data extraction-synthesis'!I16)),"X","")</f>
        <v/>
      </c>
      <c r="G17" s="52" t="s">
        <v>208</v>
      </c>
      <c r="H17" s="52" t="str">
        <f>IF(ISNUMBER(SEARCH("Meeting input",'Data extraction-synthesis'!I16)),"X","")</f>
        <v/>
      </c>
      <c r="I17" s="52" t="str">
        <f>IF(ISNUMBER(SEARCH("Available data",'Data extraction-synthesis'!I16)),"X","")</f>
        <v/>
      </c>
      <c r="J17" s="52" t="str">
        <f>IF(ISNUMBER(SEARCH("Field observations",'Data extraction-synthesis'!I16)),"X","")</f>
        <v/>
      </c>
      <c r="K17" s="52" t="str">
        <f>IF(ISNUMBER(SEARCH("Laboratory evaluations",'Data extraction-synthesis'!I16)),"X","")</f>
        <v/>
      </c>
      <c r="L17" s="52" t="str">
        <f>IF(ISNUMBER(SEARCH("Models",'Data extraction-synthesis'!I16)),"X","")</f>
        <v/>
      </c>
      <c r="M17" s="52" t="str">
        <f>IF(ISNUMBER(SEARCH("Early usability studies",'Data extraction-synthesis'!I16)),"X","")</f>
        <v/>
      </c>
      <c r="N17" s="52" t="str">
        <f>IF(ISNUMBER(SEARCH("No input sources reported",'Data extraction-synthesis'!I16)),"X","")</f>
        <v/>
      </c>
      <c r="O17" s="9" t="str">
        <f t="shared" si="0"/>
        <v>YES</v>
      </c>
      <c r="T17" s="10" t="s">
        <v>506</v>
      </c>
    </row>
    <row r="18" spans="1:15" ht="40.2">
      <c r="A18" s="56" t="s">
        <v>58</v>
      </c>
      <c r="B18" s="19" t="s">
        <v>59</v>
      </c>
      <c r="C18" s="52" t="str">
        <f>IF(ISNUMBER(SEARCH("Literature",'Data extraction-synthesis'!I17)),"X","")</f>
        <v/>
      </c>
      <c r="D18" s="52" t="str">
        <f>IF(ISNUMBER(SEARCH("Industry standard",'Data extraction-synthesis'!I17)),"X","")</f>
        <v/>
      </c>
      <c r="E18" s="52" t="str">
        <f>IF(ISNUMBER(SEARCH("Guidelines",'Data extraction-synthesis'!I17)),"X","")</f>
        <v/>
      </c>
      <c r="F18" s="52" t="str">
        <f>IF(ISNUMBER(SEARCH("Consensus meeting inputs",'Data extraction-synthesis'!I17)),"X","")</f>
        <v/>
      </c>
      <c r="G18" s="52" t="s">
        <v>208</v>
      </c>
      <c r="H18" s="52" t="str">
        <f>IF(ISNUMBER(SEARCH("Meeting input",'Data extraction-synthesis'!I17)),"X","")</f>
        <v>X</v>
      </c>
      <c r="I18" s="52" t="str">
        <f>IF(ISNUMBER(SEARCH("Available data",'Data extraction-synthesis'!I17)),"X","")</f>
        <v/>
      </c>
      <c r="J18" s="52" t="str">
        <f>IF(ISNUMBER(SEARCH("Field observations",'Data extraction-synthesis'!I17)),"X","")</f>
        <v/>
      </c>
      <c r="K18" s="52" t="str">
        <f>IF(ISNUMBER(SEARCH("Laboratory evaluations",'Data extraction-synthesis'!I17)),"X","")</f>
        <v/>
      </c>
      <c r="L18" s="52" t="str">
        <f>IF(ISNUMBER(SEARCH("Models",'Data extraction-synthesis'!I17)),"X","")</f>
        <v/>
      </c>
      <c r="M18" s="52" t="str">
        <f>IF(ISNUMBER(SEARCH("Early usability studies",'Data extraction-synthesis'!I17)),"X","")</f>
        <v/>
      </c>
      <c r="N18" s="52" t="str">
        <f>IF(ISNUMBER(SEARCH("No input sources reported",'Data extraction-synthesis'!I17)),"X","")</f>
        <v/>
      </c>
      <c r="O18" s="9" t="str">
        <f t="shared" si="0"/>
        <v>YES</v>
      </c>
    </row>
    <row r="19" spans="1:15" ht="66.6">
      <c r="A19" s="56" t="s">
        <v>58</v>
      </c>
      <c r="B19" s="19" t="s">
        <v>60</v>
      </c>
      <c r="C19" s="52" t="str">
        <f>IF(ISNUMBER(SEARCH("Literature",'Data extraction-synthesis'!I18)),"X","")</f>
        <v/>
      </c>
      <c r="D19" s="52" t="str">
        <f>IF(ISNUMBER(SEARCH("Industry standard",'Data extraction-synthesis'!I18)),"X","")</f>
        <v/>
      </c>
      <c r="E19" s="52" t="str">
        <f>IF(ISNUMBER(SEARCH("Guidelines",'Data extraction-synthesis'!I18)),"X","")</f>
        <v/>
      </c>
      <c r="F19" s="52" t="str">
        <f>IF(ISNUMBER(SEARCH("Consensus meeting inputs",'Data extraction-synthesis'!I18)),"X","")</f>
        <v/>
      </c>
      <c r="G19" s="52" t="s">
        <v>372</v>
      </c>
      <c r="H19" s="52" t="str">
        <f>IF(ISNUMBER(SEARCH("Meeting input",'Data extraction-synthesis'!I18)),"X","")</f>
        <v/>
      </c>
      <c r="I19" s="52" t="str">
        <f>IF(ISNUMBER(SEARCH("Available data",'Data extraction-synthesis'!I18)),"X","")</f>
        <v/>
      </c>
      <c r="J19" s="52" t="str">
        <f>IF(ISNUMBER(SEARCH("Field observations",'Data extraction-synthesis'!I18)),"X","")</f>
        <v/>
      </c>
      <c r="K19" s="52" t="str">
        <f>IF(ISNUMBER(SEARCH("Laboratory evaluations",'Data extraction-synthesis'!I18)),"X","")</f>
        <v/>
      </c>
      <c r="L19" s="52" t="str">
        <f>IF(ISNUMBER(SEARCH("Models",'Data extraction-synthesis'!I18)),"X","")</f>
        <v/>
      </c>
      <c r="M19" s="52" t="str">
        <f>IF(ISNUMBER(SEARCH("Early usability studies",'Data extraction-synthesis'!I18)),"X","")</f>
        <v/>
      </c>
      <c r="N19" s="52" t="str">
        <f>IF(ISNUMBER(SEARCH("No input sources reported",'Data extraction-synthesis'!I18)),"X","")</f>
        <v>X</v>
      </c>
      <c r="O19" s="9" t="str">
        <f t="shared" si="0"/>
        <v>N/A</v>
      </c>
    </row>
    <row r="20" spans="1:20" ht="106.2">
      <c r="A20" s="56" t="s">
        <v>61</v>
      </c>
      <c r="B20" s="19" t="s">
        <v>62</v>
      </c>
      <c r="C20" s="52" t="str">
        <f>IF(ISNUMBER(SEARCH("Literature",'Data extraction-synthesis'!I19)),"X","")</f>
        <v>X</v>
      </c>
      <c r="D20" s="52" t="str">
        <f>IF(ISNUMBER(SEARCH("Industry standard",'Data extraction-synthesis'!I19)),"X","")</f>
        <v/>
      </c>
      <c r="E20" s="52" t="str">
        <f>IF(ISNUMBER(SEARCH("Guidelines",'Data extraction-synthesis'!I19)),"X","")</f>
        <v/>
      </c>
      <c r="F20" s="52" t="str">
        <f>IF(ISNUMBER(SEARCH("Consensus meeting inputs",'Data extraction-synthesis'!I19)),"X","")</f>
        <v/>
      </c>
      <c r="G20" s="52" t="s">
        <v>208</v>
      </c>
      <c r="H20" s="52" t="str">
        <f>IF(ISNUMBER(SEARCH("Meeting input",'Data extraction-synthesis'!I19)),"X","")</f>
        <v/>
      </c>
      <c r="I20" s="52" t="str">
        <f>IF(ISNUMBER(SEARCH("Available data",'Data extraction-synthesis'!I19)),"X","")</f>
        <v>X</v>
      </c>
      <c r="J20" s="52" t="str">
        <f>IF(ISNUMBER(SEARCH("Field observations",'Data extraction-synthesis'!I19)),"X","")</f>
        <v/>
      </c>
      <c r="K20" s="52" t="str">
        <f>IF(ISNUMBER(SEARCH("Laboratory evaluations",'Data extraction-synthesis'!I19)),"X","")</f>
        <v>X</v>
      </c>
      <c r="L20" s="52" t="str">
        <f>IF(ISNUMBER(SEARCH("Models",'Data extraction-synthesis'!I19)),"X","")</f>
        <v/>
      </c>
      <c r="M20" s="52" t="str">
        <f>IF(ISNUMBER(SEARCH("Early usability studies",'Data extraction-synthesis'!I19)),"X","")</f>
        <v>X</v>
      </c>
      <c r="N20" s="52" t="str">
        <f>IF(ISNUMBER(SEARCH("No input sources reported",'Data extraction-synthesis'!I19)),"X","")</f>
        <v/>
      </c>
      <c r="O20" s="9" t="str">
        <f t="shared" si="0"/>
        <v>YES</v>
      </c>
      <c r="T20" s="10" t="s">
        <v>512</v>
      </c>
    </row>
    <row r="21" spans="1:15" ht="53.4">
      <c r="A21" s="56" t="s">
        <v>61</v>
      </c>
      <c r="B21" s="19" t="s">
        <v>63</v>
      </c>
      <c r="C21" s="52" t="str">
        <f>IF(ISNUMBER(SEARCH("Literature",'Data extraction-synthesis'!I20)),"X","")</f>
        <v/>
      </c>
      <c r="D21" s="52" t="str">
        <f>IF(ISNUMBER(SEARCH("Industry standard",'Data extraction-synthesis'!I20)),"X","")</f>
        <v/>
      </c>
      <c r="E21" s="52" t="str">
        <f>IF(ISNUMBER(SEARCH("Guidelines",'Data extraction-synthesis'!I20)),"X","")</f>
        <v/>
      </c>
      <c r="F21" s="52" t="str">
        <f>IF(ISNUMBER(SEARCH("Consensus meeting inputs",'Data extraction-synthesis'!I20)),"X","")</f>
        <v/>
      </c>
      <c r="G21" s="52" t="s">
        <v>208</v>
      </c>
      <c r="H21" s="52" t="str">
        <f>IF(ISNUMBER(SEARCH("Meeting input",'Data extraction-synthesis'!I20)),"X","")</f>
        <v/>
      </c>
      <c r="I21" s="52" t="str">
        <f>IF(ISNUMBER(SEARCH("Available data",'Data extraction-synthesis'!I20)),"X","")</f>
        <v/>
      </c>
      <c r="J21" s="52" t="str">
        <f>IF(ISNUMBER(SEARCH("Field observations",'Data extraction-synthesis'!I20)),"X","")</f>
        <v/>
      </c>
      <c r="K21" s="52" t="str">
        <f>IF(ISNUMBER(SEARCH("Laboratory evaluations",'Data extraction-synthesis'!I20)),"X","")</f>
        <v/>
      </c>
      <c r="L21" s="52" t="str">
        <f>IF(ISNUMBER(SEARCH("Models",'Data extraction-synthesis'!I20)),"X","")</f>
        <v/>
      </c>
      <c r="M21" s="52" t="str">
        <f>IF(ISNUMBER(SEARCH("Early usability studies",'Data extraction-synthesis'!I20)),"X","")</f>
        <v/>
      </c>
      <c r="N21" s="52" t="str">
        <f>IF(ISNUMBER(SEARCH("No input sources reported",'Data extraction-synthesis'!I20)),"X","")</f>
        <v/>
      </c>
      <c r="O21" s="9" t="str">
        <f t="shared" si="0"/>
        <v>NO</v>
      </c>
    </row>
    <row r="22" spans="1:20" ht="62.4">
      <c r="A22" s="56" t="s">
        <v>61</v>
      </c>
      <c r="B22" s="19" t="s">
        <v>64</v>
      </c>
      <c r="C22" s="52" t="str">
        <f>IF(ISNUMBER(SEARCH("Literature",'Data extraction-synthesis'!I21)),"X","")</f>
        <v>X</v>
      </c>
      <c r="D22" s="52" t="str">
        <f>IF(ISNUMBER(SEARCH("Industry standard",'Data extraction-synthesis'!I21)),"X","")</f>
        <v/>
      </c>
      <c r="E22" s="52" t="str">
        <f>IF(ISNUMBER(SEARCH("Guidelines",'Data extraction-synthesis'!I21)),"X","")</f>
        <v>X</v>
      </c>
      <c r="F22" s="52" t="str">
        <f>IF(ISNUMBER(SEARCH("Consensus meeting inputs",'Data extraction-synthesis'!I21)),"X","")</f>
        <v/>
      </c>
      <c r="G22" s="52" t="s">
        <v>208</v>
      </c>
      <c r="H22" s="52" t="str">
        <f>IF(ISNUMBER(SEARCH("Meeting input",'Data extraction-synthesis'!I21)),"X","")</f>
        <v/>
      </c>
      <c r="I22" s="52" t="str">
        <f>IF(ISNUMBER(SEARCH("Available data",'Data extraction-synthesis'!I21)),"X","")</f>
        <v>X</v>
      </c>
      <c r="J22" s="52" t="str">
        <f>IF(ISNUMBER(SEARCH("Field observations",'Data extraction-synthesis'!I21)),"X","")</f>
        <v>X</v>
      </c>
      <c r="K22" s="52" t="str">
        <f>IF(ISNUMBER(SEARCH("Laboratory evaluations",'Data extraction-synthesis'!I21)),"X","")</f>
        <v/>
      </c>
      <c r="L22" s="52" t="str">
        <f>IF(ISNUMBER(SEARCH("Models",'Data extraction-synthesis'!I21)),"X","")</f>
        <v/>
      </c>
      <c r="M22" s="52" t="str">
        <f>IF(ISNUMBER(SEARCH("Early usability studies",'Data extraction-synthesis'!I21)),"X","")</f>
        <v/>
      </c>
      <c r="N22" s="52" t="str">
        <f>IF(ISNUMBER(SEARCH("No input sources reported",'Data extraction-synthesis'!I21)),"X","")</f>
        <v/>
      </c>
      <c r="O22" s="9" t="str">
        <f t="shared" si="0"/>
        <v>YES</v>
      </c>
      <c r="T22" s="10" t="s">
        <v>514</v>
      </c>
    </row>
    <row r="23" spans="1:15" ht="40.2">
      <c r="A23" s="56" t="s">
        <v>65</v>
      </c>
      <c r="B23" s="19" t="s">
        <v>66</v>
      </c>
      <c r="C23" s="52" t="str">
        <f>IF(ISNUMBER(SEARCH("Literature",'Data extraction-synthesis'!I22)),"X","")</f>
        <v/>
      </c>
      <c r="D23" s="52" t="str">
        <f>IF(ISNUMBER(SEARCH("Industry standard",'Data extraction-synthesis'!I22)),"X","")</f>
        <v/>
      </c>
      <c r="E23" s="52" t="str">
        <f>IF(ISNUMBER(SEARCH("Guidelines",'Data extraction-synthesis'!I22)),"X","")</f>
        <v/>
      </c>
      <c r="F23" s="52" t="str">
        <f>IF(ISNUMBER(SEARCH("Consensus meeting inputs",'Data extraction-synthesis'!I22)),"X","")</f>
        <v/>
      </c>
      <c r="G23" s="52" t="s">
        <v>372</v>
      </c>
      <c r="H23" s="52" t="str">
        <f>IF(ISNUMBER(SEARCH("Meeting input",'Data extraction-synthesis'!I22)),"X","")</f>
        <v/>
      </c>
      <c r="I23" s="52" t="str">
        <f>IF(ISNUMBER(SEARCH("Available data",'Data extraction-synthesis'!I22)),"X","")</f>
        <v/>
      </c>
      <c r="J23" s="52" t="str">
        <f>IF(ISNUMBER(SEARCH("Field observations",'Data extraction-synthesis'!I22)),"X","")</f>
        <v/>
      </c>
      <c r="K23" s="52" t="str">
        <f>IF(ISNUMBER(SEARCH("Laboratory evaluations",'Data extraction-synthesis'!I22)),"X","")</f>
        <v/>
      </c>
      <c r="L23" s="52" t="str">
        <f>IF(ISNUMBER(SEARCH("Models",'Data extraction-synthesis'!I22)),"X","")</f>
        <v/>
      </c>
      <c r="M23" s="52" t="str">
        <f>IF(ISNUMBER(SEARCH("Early usability studies",'Data extraction-synthesis'!I22)),"X","")</f>
        <v/>
      </c>
      <c r="N23" s="52" t="str">
        <f>IF(ISNUMBER(SEARCH("No input sources reported",'Data extraction-synthesis'!I22)),"X","")</f>
        <v>X</v>
      </c>
      <c r="O23" s="9" t="str">
        <f t="shared" si="0"/>
        <v>N/A</v>
      </c>
    </row>
    <row r="24" spans="1:15" ht="40.2">
      <c r="A24" s="56" t="s">
        <v>65</v>
      </c>
      <c r="B24" s="19" t="s">
        <v>67</v>
      </c>
      <c r="C24" s="52" t="str">
        <f>IF(ISNUMBER(SEARCH("Literature",'Data extraction-synthesis'!I23)),"X","")</f>
        <v/>
      </c>
      <c r="D24" s="52" t="str">
        <f>IF(ISNUMBER(SEARCH("Industry standard",'Data extraction-synthesis'!I23)),"X","")</f>
        <v/>
      </c>
      <c r="E24" s="52" t="str">
        <f>IF(ISNUMBER(SEARCH("Guidelines",'Data extraction-synthesis'!I23)),"X","")</f>
        <v/>
      </c>
      <c r="F24" s="52" t="str">
        <f>IF(ISNUMBER(SEARCH("Consensus meeting inputs",'Data extraction-synthesis'!I23)),"X","")</f>
        <v/>
      </c>
      <c r="G24" s="52" t="s">
        <v>372</v>
      </c>
      <c r="H24" s="52" t="str">
        <f>IF(ISNUMBER(SEARCH("Meeting input",'Data extraction-synthesis'!I23)),"X","")</f>
        <v/>
      </c>
      <c r="I24" s="52" t="str">
        <f>IF(ISNUMBER(SEARCH("Available data",'Data extraction-synthesis'!I23)),"X","")</f>
        <v/>
      </c>
      <c r="J24" s="52" t="str">
        <f>IF(ISNUMBER(SEARCH("Field observations",'Data extraction-synthesis'!I23)),"X","")</f>
        <v/>
      </c>
      <c r="K24" s="52" t="str">
        <f>IF(ISNUMBER(SEARCH("Laboratory evaluations",'Data extraction-synthesis'!I23)),"X","")</f>
        <v/>
      </c>
      <c r="L24" s="52" t="str">
        <f>IF(ISNUMBER(SEARCH("Models",'Data extraction-synthesis'!I23)),"X","")</f>
        <v/>
      </c>
      <c r="M24" s="52" t="str">
        <f>IF(ISNUMBER(SEARCH("Early usability studies",'Data extraction-synthesis'!I23)),"X","")</f>
        <v/>
      </c>
      <c r="N24" s="52" t="str">
        <f>IF(ISNUMBER(SEARCH("No input sources reported",'Data extraction-synthesis'!I23)),"X","")</f>
        <v>X</v>
      </c>
      <c r="O24" s="9" t="str">
        <f t="shared" si="0"/>
        <v>N/A</v>
      </c>
    </row>
    <row r="25" spans="1:20" ht="62.4">
      <c r="A25" s="56" t="s">
        <v>36</v>
      </c>
      <c r="B25" s="22" t="s">
        <v>68</v>
      </c>
      <c r="C25" s="52" t="str">
        <f>IF(ISNUMBER(SEARCH("Literature",'Data extraction-synthesis'!I24)),"X","")</f>
        <v>X</v>
      </c>
      <c r="D25" s="52" t="str">
        <f>IF(ISNUMBER(SEARCH("Industry standard",'Data extraction-synthesis'!I24)),"X","")</f>
        <v/>
      </c>
      <c r="E25" s="52" t="str">
        <f>IF(ISNUMBER(SEARCH("Guidelines",'Data extraction-synthesis'!I24)),"X","")</f>
        <v/>
      </c>
      <c r="F25" s="52" t="str">
        <f>IF(ISNUMBER(SEARCH("Consensus meeting inputs",'Data extraction-synthesis'!I24)),"X","")</f>
        <v>X</v>
      </c>
      <c r="G25" s="52" t="s">
        <v>208</v>
      </c>
      <c r="H25" s="52"/>
      <c r="I25" s="52" t="str">
        <f>IF(ISNUMBER(SEARCH("Available data",'Data extraction-synthesis'!I24)),"X","")</f>
        <v/>
      </c>
      <c r="J25" s="52" t="str">
        <f>IF(ISNUMBER(SEARCH("Field observations",'Data extraction-synthesis'!I24)),"X","")</f>
        <v/>
      </c>
      <c r="K25" s="52" t="str">
        <f>IF(ISNUMBER(SEARCH("Laboratory evaluations",'Data extraction-synthesis'!I24)),"X","")</f>
        <v/>
      </c>
      <c r="L25" s="52" t="str">
        <f>IF(ISNUMBER(SEARCH("Models",'Data extraction-synthesis'!I24)),"X","")</f>
        <v>X</v>
      </c>
      <c r="M25" s="52" t="str">
        <f>IF(ISNUMBER(SEARCH("Early usability studies",'Data extraction-synthesis'!I24)),"X","")</f>
        <v/>
      </c>
      <c r="N25" s="52" t="str">
        <f>IF(ISNUMBER(SEARCH("No input sources reported",'Data extraction-synthesis'!I24)),"X","")</f>
        <v/>
      </c>
      <c r="O25" s="9" t="str">
        <f t="shared" si="0"/>
        <v>YES</v>
      </c>
      <c r="T25" s="10" t="s">
        <v>515</v>
      </c>
    </row>
    <row r="26" spans="1:15" ht="93">
      <c r="A26" s="56" t="s">
        <v>36</v>
      </c>
      <c r="B26" s="19" t="s">
        <v>69</v>
      </c>
      <c r="C26" s="52" t="str">
        <f>IF(ISNUMBER(SEARCH("Literature",'Data extraction-synthesis'!I25)),"X","")</f>
        <v/>
      </c>
      <c r="D26" s="52" t="str">
        <f>IF(ISNUMBER(SEARCH("Industry standard",'Data extraction-synthesis'!I25)),"X","")</f>
        <v/>
      </c>
      <c r="E26" s="52" t="str">
        <f>IF(ISNUMBER(SEARCH("Guidelines",'Data extraction-synthesis'!I25)),"X","")</f>
        <v/>
      </c>
      <c r="F26" s="52" t="str">
        <f>IF(ISNUMBER(SEARCH("Consensus meeting inputs",'Data extraction-synthesis'!I25)),"X","")</f>
        <v/>
      </c>
      <c r="G26" s="52" t="s">
        <v>208</v>
      </c>
      <c r="H26" s="52" t="str">
        <f>IF(ISNUMBER(SEARCH("Meeting input",'Data extraction-synthesis'!I25)),"X","")</f>
        <v>X</v>
      </c>
      <c r="I26" s="52" t="str">
        <f>IF(ISNUMBER(SEARCH("Available data",'Data extraction-synthesis'!I25)),"X","")</f>
        <v/>
      </c>
      <c r="J26" s="52" t="str">
        <f>IF(ISNUMBER(SEARCH("Field observations",'Data extraction-synthesis'!I25)),"X","")</f>
        <v/>
      </c>
      <c r="K26" s="52" t="str">
        <f>IF(ISNUMBER(SEARCH("Laboratory evaluations",'Data extraction-synthesis'!I25)),"X","")</f>
        <v/>
      </c>
      <c r="L26" s="52" t="str">
        <f>IF(ISNUMBER(SEARCH("Models",'Data extraction-synthesis'!I25)),"X","")</f>
        <v/>
      </c>
      <c r="M26" s="52" t="str">
        <f>IF(ISNUMBER(SEARCH("Early usability studies",'Data extraction-synthesis'!I25)),"X","")</f>
        <v/>
      </c>
      <c r="N26" s="52" t="str">
        <f>IF(ISNUMBER(SEARCH("No input sources reported",'Data extraction-synthesis'!I25)),"X","")</f>
        <v/>
      </c>
      <c r="O26" s="9" t="str">
        <f t="shared" si="0"/>
        <v>YES</v>
      </c>
    </row>
    <row r="27" spans="1:15" ht="106.2">
      <c r="A27" s="56" t="s">
        <v>36</v>
      </c>
      <c r="B27" s="19" t="s">
        <v>70</v>
      </c>
      <c r="C27" s="52" t="str">
        <f>IF(ISNUMBER(SEARCH("Literature",'Data extraction-synthesis'!I26)),"X","")</f>
        <v/>
      </c>
      <c r="D27" s="52" t="str">
        <f>IF(ISNUMBER(SEARCH("Industry standard",'Data extraction-synthesis'!I26)),"X","")</f>
        <v/>
      </c>
      <c r="E27" s="52" t="str">
        <f>IF(ISNUMBER(SEARCH("Guidelines",'Data extraction-synthesis'!I26)),"X","")</f>
        <v/>
      </c>
      <c r="F27" s="52" t="str">
        <f>IF(ISNUMBER(SEARCH("Consensus meeting inputs",'Data extraction-synthesis'!I26)),"X","")</f>
        <v/>
      </c>
      <c r="G27" s="52" t="s">
        <v>372</v>
      </c>
      <c r="H27" s="52" t="str">
        <f>IF(ISNUMBER(SEARCH("Meeting input",'Data extraction-synthesis'!I26)),"X","")</f>
        <v/>
      </c>
      <c r="I27" s="52" t="str">
        <f>IF(ISNUMBER(SEARCH("Available data",'Data extraction-synthesis'!I26)),"X","")</f>
        <v/>
      </c>
      <c r="J27" s="52" t="str">
        <f>IF(ISNUMBER(SEARCH("Field observations",'Data extraction-synthesis'!I26)),"X","")</f>
        <v/>
      </c>
      <c r="K27" s="52" t="str">
        <f>IF(ISNUMBER(SEARCH("Laboratory evaluations",'Data extraction-synthesis'!I26)),"X","")</f>
        <v/>
      </c>
      <c r="L27" s="52" t="str">
        <f>IF(ISNUMBER(SEARCH("Models",'Data extraction-synthesis'!I26)),"X","")</f>
        <v/>
      </c>
      <c r="M27" s="52" t="str">
        <f>IF(ISNUMBER(SEARCH("Early usability studies",'Data extraction-synthesis'!I26)),"X","")</f>
        <v/>
      </c>
      <c r="N27" s="52" t="str">
        <f>IF(ISNUMBER(SEARCH("No input sources reported",'Data extraction-synthesis'!I26)),"X","")</f>
        <v>X</v>
      </c>
      <c r="O27" s="9" t="str">
        <f t="shared" si="0"/>
        <v>N/A</v>
      </c>
    </row>
    <row r="28" spans="1:15" ht="66.6">
      <c r="A28" s="56" t="s">
        <v>36</v>
      </c>
      <c r="B28" s="19" t="s">
        <v>71</v>
      </c>
      <c r="C28" s="52" t="str">
        <f>IF(ISNUMBER(SEARCH("Literature",'Data extraction-synthesis'!I27)),"X","")</f>
        <v/>
      </c>
      <c r="D28" s="52" t="str">
        <f>IF(ISNUMBER(SEARCH("Industry standard",'Data extraction-synthesis'!I27)),"X","")</f>
        <v/>
      </c>
      <c r="E28" s="52" t="str">
        <f>IF(ISNUMBER(SEARCH("Guidelines",'Data extraction-synthesis'!I27)),"X","")</f>
        <v/>
      </c>
      <c r="F28" s="52" t="str">
        <f>IF(ISNUMBER(SEARCH("Consensus meeting inputs",'Data extraction-synthesis'!I27)),"X","")</f>
        <v/>
      </c>
      <c r="G28" s="52" t="s">
        <v>372</v>
      </c>
      <c r="H28" s="52" t="str">
        <f>IF(ISNUMBER(SEARCH("Meeting input",'Data extraction-synthesis'!I27)),"X","")</f>
        <v/>
      </c>
      <c r="I28" s="52" t="str">
        <f>IF(ISNUMBER(SEARCH("Available data",'Data extraction-synthesis'!I27)),"X","")</f>
        <v/>
      </c>
      <c r="J28" s="52" t="str">
        <f>IF(ISNUMBER(SEARCH("Field observations",'Data extraction-synthesis'!I27)),"X","")</f>
        <v/>
      </c>
      <c r="K28" s="52" t="str">
        <f>IF(ISNUMBER(SEARCH("Laboratory evaluations",'Data extraction-synthesis'!I27)),"X","")</f>
        <v/>
      </c>
      <c r="L28" s="52" t="str">
        <f>IF(ISNUMBER(SEARCH("Models",'Data extraction-synthesis'!I27)),"X","")</f>
        <v/>
      </c>
      <c r="M28" s="52" t="str">
        <f>IF(ISNUMBER(SEARCH("Early usability studies",'Data extraction-synthesis'!I27)),"X","")</f>
        <v/>
      </c>
      <c r="N28" s="52" t="str">
        <f>IF(ISNUMBER(SEARCH("No input sources reported",'Data extraction-synthesis'!I27)),"X","")</f>
        <v>X</v>
      </c>
      <c r="O28" s="9" t="str">
        <f t="shared" si="0"/>
        <v>N/A</v>
      </c>
    </row>
    <row r="29" spans="1:21" ht="40.2">
      <c r="A29" s="56" t="s">
        <v>36</v>
      </c>
      <c r="B29" s="19" t="s">
        <v>72</v>
      </c>
      <c r="C29" s="52" t="str">
        <f>IF(ISNUMBER(SEARCH("Literature",'Data extraction-synthesis'!I28)),"X","")</f>
        <v/>
      </c>
      <c r="D29" s="52" t="str">
        <f>IF(ISNUMBER(SEARCH("Industry standard",'Data extraction-synthesis'!I28)),"X","")</f>
        <v/>
      </c>
      <c r="E29" s="52" t="str">
        <f>IF(ISNUMBER(SEARCH("Guidelines",'Data extraction-synthesis'!I28)),"X","")</f>
        <v/>
      </c>
      <c r="F29" s="52" t="str">
        <f>IF(ISNUMBER(SEARCH("Consensus meeting inputs",'Data extraction-synthesis'!I28)),"X","")</f>
        <v/>
      </c>
      <c r="G29" s="52"/>
      <c r="H29" s="52" t="str">
        <f>IF(ISNUMBER(SEARCH("Meeting input",'Data extraction-synthesis'!I28)),"X","")</f>
        <v>X</v>
      </c>
      <c r="I29" s="52" t="str">
        <f>IF(ISNUMBER(SEARCH("Available data",'Data extraction-synthesis'!I28)),"X","")</f>
        <v/>
      </c>
      <c r="J29" s="52" t="str">
        <f>IF(ISNUMBER(SEARCH("Field observations",'Data extraction-synthesis'!I28)),"X","")</f>
        <v/>
      </c>
      <c r="K29" s="52" t="str">
        <f>IF(ISNUMBER(SEARCH("Laboratory evaluations",'Data extraction-synthesis'!I28)),"X","")</f>
        <v/>
      </c>
      <c r="L29" s="52" t="str">
        <f>IF(ISNUMBER(SEARCH("Models",'Data extraction-synthesis'!I28)),"X","")</f>
        <v/>
      </c>
      <c r="M29" s="52" t="str">
        <f>IF(ISNUMBER(SEARCH("Early usability studies",'Data extraction-synthesis'!I28)),"X","")</f>
        <v/>
      </c>
      <c r="N29" s="52" t="str">
        <f>IF(ISNUMBER(SEARCH("No input sources reported",'Data extraction-synthesis'!I28)),"X","")</f>
        <v/>
      </c>
      <c r="O29" s="9" t="str">
        <f t="shared" si="0"/>
        <v>NO</v>
      </c>
      <c r="U29" t="s">
        <v>279</v>
      </c>
    </row>
    <row r="30" spans="1:21" ht="53.4">
      <c r="A30" s="56" t="s">
        <v>36</v>
      </c>
      <c r="B30" s="19" t="s">
        <v>73</v>
      </c>
      <c r="C30" s="52" t="str">
        <f>IF(ISNUMBER(SEARCH("Literature",'Data extraction-synthesis'!I29)),"X","")</f>
        <v/>
      </c>
      <c r="D30" s="52" t="str">
        <f>IF(ISNUMBER(SEARCH("Industry standard",'Data extraction-synthesis'!I29)),"X","")</f>
        <v/>
      </c>
      <c r="E30" s="52" t="str">
        <f>IF(ISNUMBER(SEARCH("Guidelines",'Data extraction-synthesis'!I29)),"X","")</f>
        <v/>
      </c>
      <c r="F30" s="52" t="str">
        <f>IF(ISNUMBER(SEARCH("Consensus meeting inputs",'Data extraction-synthesis'!I29)),"X","")</f>
        <v/>
      </c>
      <c r="G30" s="52"/>
      <c r="H30" s="52" t="str">
        <f>IF(ISNUMBER(SEARCH("Meeting input",'Data extraction-synthesis'!I29)),"X","")</f>
        <v>X</v>
      </c>
      <c r="I30" s="52" t="str">
        <f>IF(ISNUMBER(SEARCH("Available data",'Data extraction-synthesis'!I29)),"X","")</f>
        <v/>
      </c>
      <c r="J30" s="52" t="str">
        <f>IF(ISNUMBER(SEARCH("Field observations",'Data extraction-synthesis'!I29)),"X","")</f>
        <v/>
      </c>
      <c r="K30" s="52" t="str">
        <f>IF(ISNUMBER(SEARCH("Laboratory evaluations",'Data extraction-synthesis'!I29)),"X","")</f>
        <v/>
      </c>
      <c r="L30" s="52" t="str">
        <f>IF(ISNUMBER(SEARCH("Models",'Data extraction-synthesis'!I29)),"X","")</f>
        <v/>
      </c>
      <c r="M30" s="52" t="str">
        <f>IF(ISNUMBER(SEARCH("Early usability studies",'Data extraction-synthesis'!I29)),"X","")</f>
        <v/>
      </c>
      <c r="N30" s="52" t="str">
        <f>IF(ISNUMBER(SEARCH("No input sources reported",'Data extraction-synthesis'!I29)),"X","")</f>
        <v/>
      </c>
      <c r="O30" s="9" t="str">
        <f t="shared" si="0"/>
        <v>NO</v>
      </c>
      <c r="U30" t="s">
        <v>279</v>
      </c>
    </row>
    <row r="31" spans="1:15" ht="27">
      <c r="A31" s="56" t="s">
        <v>75</v>
      </c>
      <c r="B31" s="19" t="s">
        <v>76</v>
      </c>
      <c r="C31" s="52" t="str">
        <f>IF(ISNUMBER(SEARCH("Literature",'Data extraction-synthesis'!I30)),"X","")</f>
        <v/>
      </c>
      <c r="D31" s="52" t="str">
        <f>IF(ISNUMBER(SEARCH("Industry standard",'Data extraction-synthesis'!I30)),"X","")</f>
        <v/>
      </c>
      <c r="E31" s="52" t="str">
        <f>IF(ISNUMBER(SEARCH("Guidelines",'Data extraction-synthesis'!I30)),"X","")</f>
        <v/>
      </c>
      <c r="F31" s="52" t="str">
        <f>IF(ISNUMBER(SEARCH("Consensus meeting inputs",'Data extraction-synthesis'!I30)),"X","")</f>
        <v/>
      </c>
      <c r="G31" s="52" t="s">
        <v>372</v>
      </c>
      <c r="H31" s="52" t="str">
        <f>IF(ISNUMBER(SEARCH("Meeting input",'Data extraction-synthesis'!I30)),"X","")</f>
        <v/>
      </c>
      <c r="I31" s="52" t="str">
        <f>IF(ISNUMBER(SEARCH("Available data",'Data extraction-synthesis'!I30)),"X","")</f>
        <v/>
      </c>
      <c r="J31" s="52" t="str">
        <f>IF(ISNUMBER(SEARCH("Field observations",'Data extraction-synthesis'!I30)),"X","")</f>
        <v/>
      </c>
      <c r="K31" s="52" t="str">
        <f>IF(ISNUMBER(SEARCH("Laboratory evaluations",'Data extraction-synthesis'!I30)),"X","")</f>
        <v/>
      </c>
      <c r="L31" s="52" t="str">
        <f>IF(ISNUMBER(SEARCH("Models",'Data extraction-synthesis'!I30)),"X","")</f>
        <v/>
      </c>
      <c r="M31" s="52" t="str">
        <f>IF(ISNUMBER(SEARCH("Early usability studies",'Data extraction-synthesis'!I30)),"X","")</f>
        <v/>
      </c>
      <c r="N31" s="52" t="str">
        <f>IF(ISNUMBER(SEARCH("No input sources reported",'Data extraction-synthesis'!I30)),"X","")</f>
        <v>X</v>
      </c>
      <c r="O31" s="9" t="str">
        <f t="shared" si="0"/>
        <v>N/A</v>
      </c>
    </row>
    <row r="32" spans="1:20" ht="46.8">
      <c r="A32" s="56" t="s">
        <v>65</v>
      </c>
      <c r="B32" s="19" t="s">
        <v>77</v>
      </c>
      <c r="C32" s="52" t="str">
        <f>IF(ISNUMBER(SEARCH("Literature",'Data extraction-synthesis'!I31)),"X","")</f>
        <v>X</v>
      </c>
      <c r="D32" s="52" t="str">
        <f>IF(ISNUMBER(SEARCH("Industry standard",'Data extraction-synthesis'!I31)),"X","")</f>
        <v/>
      </c>
      <c r="E32" s="52" t="str">
        <f>IF(ISNUMBER(SEARCH("Guidelines",'Data extraction-synthesis'!I31)),"X","")</f>
        <v/>
      </c>
      <c r="F32" s="52" t="str">
        <f>IF(ISNUMBER(SEARCH("Consensus meeting inputs",'Data extraction-synthesis'!I31)),"X","")</f>
        <v/>
      </c>
      <c r="G32" s="52" t="s">
        <v>208</v>
      </c>
      <c r="H32" s="52" t="str">
        <f>IF(ISNUMBER(SEARCH("Meeting input",'Data extraction-synthesis'!I31)),"X","")</f>
        <v/>
      </c>
      <c r="I32" s="52" t="str">
        <f>IF(ISNUMBER(SEARCH("Available data",'Data extraction-synthesis'!I31)),"X","")</f>
        <v/>
      </c>
      <c r="J32" s="52" t="str">
        <f>IF(ISNUMBER(SEARCH("Field observations",'Data extraction-synthesis'!I31)),"X","")</f>
        <v/>
      </c>
      <c r="K32" s="52" t="str">
        <f>IF(ISNUMBER(SEARCH("Laboratory evaluations",'Data extraction-synthesis'!I31)),"X","")</f>
        <v/>
      </c>
      <c r="L32" s="52" t="str">
        <f>IF(ISNUMBER(SEARCH("Models",'Data extraction-synthesis'!I31)),"X","")</f>
        <v/>
      </c>
      <c r="M32" s="52" t="str">
        <f>IF(ISNUMBER(SEARCH("Early usability studies",'Data extraction-synthesis'!I31)),"X","")</f>
        <v/>
      </c>
      <c r="N32" s="52" t="str">
        <f>IF(ISNUMBER(SEARCH("No input sources reported",'Data extraction-synthesis'!I31)),"X","")</f>
        <v/>
      </c>
      <c r="O32" s="9" t="str">
        <f t="shared" si="0"/>
        <v>YES</v>
      </c>
      <c r="T32" s="10" t="s">
        <v>517</v>
      </c>
    </row>
    <row r="33" spans="1:20" ht="62.4">
      <c r="A33" s="56" t="s">
        <v>65</v>
      </c>
      <c r="B33" s="19" t="s">
        <v>78</v>
      </c>
      <c r="C33" s="52" t="str">
        <f>IF(ISNUMBER(SEARCH("Literature",'Data extraction-synthesis'!I32)),"X","")</f>
        <v>X</v>
      </c>
      <c r="D33" s="52" t="str">
        <f>IF(ISNUMBER(SEARCH("Industry standard",'Data extraction-synthesis'!I32)),"X","")</f>
        <v/>
      </c>
      <c r="E33" s="52" t="str">
        <f>IF(ISNUMBER(SEARCH("Guidelines",'Data extraction-synthesis'!I32)),"X","")</f>
        <v/>
      </c>
      <c r="F33" s="52" t="str">
        <f>IF(ISNUMBER(SEARCH("Consensus meeting inputs",'Data extraction-synthesis'!I32)),"X","")</f>
        <v/>
      </c>
      <c r="G33" s="52" t="s">
        <v>208</v>
      </c>
      <c r="H33" s="52" t="str">
        <f>IF(ISNUMBER(SEARCH("Meeting input",'Data extraction-synthesis'!I32)),"X","")</f>
        <v/>
      </c>
      <c r="I33" s="52" t="str">
        <f>IF(ISNUMBER(SEARCH("Available data",'Data extraction-synthesis'!I32)),"X","")</f>
        <v/>
      </c>
      <c r="J33" s="52" t="str">
        <f>IF(ISNUMBER(SEARCH("Field observations",'Data extraction-synthesis'!I32)),"X","")</f>
        <v/>
      </c>
      <c r="K33" s="52" t="str">
        <f>IF(ISNUMBER(SEARCH("Laboratory evaluations",'Data extraction-synthesis'!I32)),"X","")</f>
        <v/>
      </c>
      <c r="L33" s="52" t="str">
        <f>IF(ISNUMBER(SEARCH("Models",'Data extraction-synthesis'!I32)),"X","")</f>
        <v/>
      </c>
      <c r="M33" s="52" t="str">
        <f>IF(ISNUMBER(SEARCH("Early usability studies",'Data extraction-synthesis'!I32)),"X","")</f>
        <v/>
      </c>
      <c r="N33" s="52" t="str">
        <f>IF(ISNUMBER(SEARCH("No input sources reported",'Data extraction-synthesis'!I32)),"X","")</f>
        <v/>
      </c>
      <c r="O33" s="9" t="str">
        <f t="shared" si="0"/>
        <v>YES</v>
      </c>
      <c r="T33" s="10" t="s">
        <v>518</v>
      </c>
    </row>
    <row r="34" spans="1:21" ht="40.2">
      <c r="A34" s="56" t="s">
        <v>80</v>
      </c>
      <c r="B34" s="19" t="s">
        <v>81</v>
      </c>
      <c r="C34" s="52" t="str">
        <f>IF(ISNUMBER(SEARCH("Literature",'Data extraction-synthesis'!I33)),"X","")</f>
        <v/>
      </c>
      <c r="D34" s="52" t="str">
        <f>IF(ISNUMBER(SEARCH("Industry standard",'Data extraction-synthesis'!I33)),"X","")</f>
        <v/>
      </c>
      <c r="E34" s="52" t="str">
        <f>IF(ISNUMBER(SEARCH("Guidelines",'Data extraction-synthesis'!I33)),"X","")</f>
        <v/>
      </c>
      <c r="F34" s="52" t="str">
        <f>IF(ISNUMBER(SEARCH("Consensus meeting inputs",'Data extraction-synthesis'!I33)),"X","")</f>
        <v/>
      </c>
      <c r="G34" s="52" t="s">
        <v>208</v>
      </c>
      <c r="H34" s="52" t="str">
        <f>IF(ISNUMBER(SEARCH("Meeting input",'Data extraction-synthesis'!I33)),"X","")</f>
        <v/>
      </c>
      <c r="I34" s="52" t="str">
        <f>IF(ISNUMBER(SEARCH("Available data",'Data extraction-synthesis'!I33)),"X","")</f>
        <v/>
      </c>
      <c r="J34" s="52" t="str">
        <f>IF(ISNUMBER(SEARCH("Field observations",'Data extraction-synthesis'!I33)),"X","")</f>
        <v/>
      </c>
      <c r="K34" s="52" t="str">
        <f>IF(ISNUMBER(SEARCH("Laboratory evaluations",'Data extraction-synthesis'!I33)),"X","")</f>
        <v/>
      </c>
      <c r="L34" s="52" t="str">
        <f>IF(ISNUMBER(SEARCH("Models",'Data extraction-synthesis'!I33)),"X","")</f>
        <v>X</v>
      </c>
      <c r="M34" s="52" t="str">
        <f>IF(ISNUMBER(SEARCH("Early usability studies",'Data extraction-synthesis'!I33)),"X","")</f>
        <v/>
      </c>
      <c r="N34" s="52" t="str">
        <f>IF(ISNUMBER(SEARCH("No input sources reported",'Data extraction-synthesis'!I33)),"X","")</f>
        <v/>
      </c>
      <c r="O34" s="9" t="str">
        <f t="shared" si="0"/>
        <v>YES</v>
      </c>
      <c r="U34" t="s">
        <v>354</v>
      </c>
    </row>
    <row r="35" spans="1:20" ht="66.6">
      <c r="A35" s="56" t="s">
        <v>61</v>
      </c>
      <c r="B35" s="22" t="s">
        <v>84</v>
      </c>
      <c r="C35" s="52" t="str">
        <f>IF(ISNUMBER(SEARCH("Literature",'Data extraction-synthesis'!I34)),"X","")</f>
        <v>X</v>
      </c>
      <c r="D35" s="52" t="str">
        <f>IF(ISNUMBER(SEARCH("Industry standard",'Data extraction-synthesis'!I34)),"X","")</f>
        <v/>
      </c>
      <c r="E35" s="52" t="str">
        <f>IF(ISNUMBER(SEARCH("Guidelines",'Data extraction-synthesis'!I34)),"X","")</f>
        <v>X</v>
      </c>
      <c r="F35" s="52" t="str">
        <f>IF(ISNUMBER(SEARCH("Consensus meeting inputs",'Data extraction-synthesis'!I34)),"X","")</f>
        <v/>
      </c>
      <c r="G35" s="52" t="s">
        <v>208</v>
      </c>
      <c r="H35" s="52" t="str">
        <f>IF(ISNUMBER(SEARCH("Meeting input",'Data extraction-synthesis'!I34)),"X","")</f>
        <v/>
      </c>
      <c r="I35" s="52" t="str">
        <f>IF(ISNUMBER(SEARCH("Available data",'Data extraction-synthesis'!I34)),"X","")</f>
        <v>X</v>
      </c>
      <c r="J35" s="52" t="str">
        <f>IF(ISNUMBER(SEARCH("Field observations",'Data extraction-synthesis'!I34)),"X","")</f>
        <v>X</v>
      </c>
      <c r="K35" s="52" t="str">
        <f>IF(ISNUMBER(SEARCH("Laboratory evaluations",'Data extraction-synthesis'!I34)),"X","")</f>
        <v/>
      </c>
      <c r="L35" s="52" t="str">
        <f>IF(ISNUMBER(SEARCH("Models",'Data extraction-synthesis'!I34)),"X","")</f>
        <v/>
      </c>
      <c r="M35" s="52" t="str">
        <f>IF(ISNUMBER(SEARCH("Early usability studies",'Data extraction-synthesis'!I34)),"X","")</f>
        <v/>
      </c>
      <c r="N35" s="52" t="str">
        <f>IF(ISNUMBER(SEARCH("No input sources reported",'Data extraction-synthesis'!I34)),"X","")</f>
        <v/>
      </c>
      <c r="O35" s="9" t="str">
        <f t="shared" si="0"/>
        <v>YES</v>
      </c>
      <c r="T35" s="10" t="s">
        <v>519</v>
      </c>
    </row>
    <row r="36" spans="1:20" ht="66.6">
      <c r="A36" s="56" t="s">
        <v>61</v>
      </c>
      <c r="B36" s="19" t="s">
        <v>85</v>
      </c>
      <c r="C36" s="52" t="str">
        <f>IF(ISNUMBER(SEARCH("Literature",'Data extraction-synthesis'!I35)),"X","")</f>
        <v>X</v>
      </c>
      <c r="D36" s="52" t="str">
        <f>IF(ISNUMBER(SEARCH("Industry standard",'Data extraction-synthesis'!I35)),"X","")</f>
        <v/>
      </c>
      <c r="E36" s="52" t="str">
        <f>IF(ISNUMBER(SEARCH("Guidelines",'Data extraction-synthesis'!I35)),"X","")</f>
        <v>X</v>
      </c>
      <c r="F36" s="52" t="str">
        <f>IF(ISNUMBER(SEARCH("Consensus meeting inputs",'Data extraction-synthesis'!I35)),"X","")</f>
        <v/>
      </c>
      <c r="G36" s="52" t="s">
        <v>208</v>
      </c>
      <c r="H36" s="52" t="str">
        <f>IF(ISNUMBER(SEARCH("Meeting input",'Data extraction-synthesis'!I35)),"X","")</f>
        <v/>
      </c>
      <c r="I36" s="52" t="str">
        <f>IF(ISNUMBER(SEARCH("Available data",'Data extraction-synthesis'!I35)),"X","")</f>
        <v>X</v>
      </c>
      <c r="J36" s="52" t="str">
        <f>IF(ISNUMBER(SEARCH("Field observations",'Data extraction-synthesis'!I35)),"X","")</f>
        <v/>
      </c>
      <c r="K36" s="52" t="str">
        <f>IF(ISNUMBER(SEARCH("Laboratory evaluations",'Data extraction-synthesis'!I35)),"X","")</f>
        <v/>
      </c>
      <c r="L36" s="52" t="str">
        <f>IF(ISNUMBER(SEARCH("Models",'Data extraction-synthesis'!I35)),"X","")</f>
        <v/>
      </c>
      <c r="M36" s="52" t="str">
        <f>IF(ISNUMBER(SEARCH("Early usability studies",'Data extraction-synthesis'!I35)),"X","")</f>
        <v/>
      </c>
      <c r="N36" s="52" t="str">
        <f>IF(ISNUMBER(SEARCH("No input sources reported",'Data extraction-synthesis'!I35)),"X","")</f>
        <v/>
      </c>
      <c r="O36" s="9" t="str">
        <f t="shared" si="0"/>
        <v>YES</v>
      </c>
      <c r="T36" s="10" t="s">
        <v>519</v>
      </c>
    </row>
    <row r="37" spans="1:15" ht="40.2">
      <c r="A37" s="56" t="s">
        <v>86</v>
      </c>
      <c r="B37" s="19" t="s">
        <v>87</v>
      </c>
      <c r="C37" s="52" t="str">
        <f>IF(ISNUMBER(SEARCH("Literature",'Data extraction-synthesis'!I36)),"X","")</f>
        <v/>
      </c>
      <c r="D37" s="52" t="str">
        <f>IF(ISNUMBER(SEARCH("Industry standard",'Data extraction-synthesis'!I36)),"X","")</f>
        <v/>
      </c>
      <c r="E37" s="52" t="str">
        <f>IF(ISNUMBER(SEARCH("Guidelines",'Data extraction-synthesis'!I36)),"X","")</f>
        <v/>
      </c>
      <c r="F37" s="52" t="str">
        <f>IF(ISNUMBER(SEARCH("Consensus meeting inputs",'Data extraction-synthesis'!I36)),"X","")</f>
        <v/>
      </c>
      <c r="G37" s="52" t="s">
        <v>372</v>
      </c>
      <c r="H37" s="52" t="str">
        <f>IF(ISNUMBER(SEARCH("Meeting input",'Data extraction-synthesis'!I36)),"X","")</f>
        <v/>
      </c>
      <c r="I37" s="52" t="str">
        <f>IF(ISNUMBER(SEARCH("Available data",'Data extraction-synthesis'!I36)),"X","")</f>
        <v/>
      </c>
      <c r="J37" s="52" t="str">
        <f>IF(ISNUMBER(SEARCH("Field observations",'Data extraction-synthesis'!I36)),"X","")</f>
        <v/>
      </c>
      <c r="K37" s="52" t="str">
        <f>IF(ISNUMBER(SEARCH("Laboratory evaluations",'Data extraction-synthesis'!I36)),"X","")</f>
        <v/>
      </c>
      <c r="L37" s="52" t="str">
        <f>IF(ISNUMBER(SEARCH("Models",'Data extraction-synthesis'!I36)),"X","")</f>
        <v/>
      </c>
      <c r="M37" s="52" t="str">
        <f>IF(ISNUMBER(SEARCH("Early usability studies",'Data extraction-synthesis'!I36)),"X","")</f>
        <v/>
      </c>
      <c r="N37" s="52" t="str">
        <f>IF(ISNUMBER(SEARCH("No input sources reported",'Data extraction-synthesis'!I36)),"X","")</f>
        <v>X</v>
      </c>
      <c r="O37" s="9" t="str">
        <f t="shared" si="0"/>
        <v>N/A</v>
      </c>
    </row>
    <row r="38" spans="1:15" ht="27">
      <c r="A38" s="56" t="s">
        <v>86</v>
      </c>
      <c r="B38" s="19" t="s">
        <v>90</v>
      </c>
      <c r="C38" s="52" t="str">
        <f>IF(ISNUMBER(SEARCH("Literature",'Data extraction-synthesis'!I37)),"X","")</f>
        <v/>
      </c>
      <c r="D38" s="52" t="str">
        <f>IF(ISNUMBER(SEARCH("Industry standard",'Data extraction-synthesis'!I37)),"X","")</f>
        <v/>
      </c>
      <c r="E38" s="52" t="str">
        <f>IF(ISNUMBER(SEARCH("Guidelines",'Data extraction-synthesis'!I37)),"X","")</f>
        <v/>
      </c>
      <c r="F38" s="52" t="str">
        <f>IF(ISNUMBER(SEARCH("Consensus meeting inputs",'Data extraction-synthesis'!I37)),"X","")</f>
        <v/>
      </c>
      <c r="G38" s="52" t="s">
        <v>372</v>
      </c>
      <c r="H38" s="52" t="str">
        <f>IF(ISNUMBER(SEARCH("Meeting input",'Data extraction-synthesis'!I37)),"X","")</f>
        <v/>
      </c>
      <c r="I38" s="52" t="str">
        <f>IF(ISNUMBER(SEARCH("Available data",'Data extraction-synthesis'!I37)),"X","")</f>
        <v/>
      </c>
      <c r="J38" s="52" t="str">
        <f>IF(ISNUMBER(SEARCH("Field observations",'Data extraction-synthesis'!I37)),"X","")</f>
        <v/>
      </c>
      <c r="K38" s="52" t="str">
        <f>IF(ISNUMBER(SEARCH("Laboratory evaluations",'Data extraction-synthesis'!I37)),"X","")</f>
        <v/>
      </c>
      <c r="L38" s="52" t="str">
        <f>IF(ISNUMBER(SEARCH("Models",'Data extraction-synthesis'!I37)),"X","")</f>
        <v/>
      </c>
      <c r="M38" s="52" t="str">
        <f>IF(ISNUMBER(SEARCH("Early usability studies",'Data extraction-synthesis'!I37)),"X","")</f>
        <v/>
      </c>
      <c r="N38" s="52" t="str">
        <f>IF(ISNUMBER(SEARCH("No input sources reported",'Data extraction-synthesis'!I37)),"X","")</f>
        <v>X</v>
      </c>
      <c r="O38" s="9" t="str">
        <f t="shared" si="0"/>
        <v>N/A</v>
      </c>
    </row>
    <row r="39" spans="1:15" ht="27">
      <c r="A39" s="56" t="s">
        <v>86</v>
      </c>
      <c r="B39" s="19" t="s">
        <v>91</v>
      </c>
      <c r="C39" s="52" t="str">
        <f>IF(ISNUMBER(SEARCH("Literature",'Data extraction-synthesis'!I38)),"X","")</f>
        <v/>
      </c>
      <c r="D39" s="52" t="str">
        <f>IF(ISNUMBER(SEARCH("Industry standard",'Data extraction-synthesis'!I38)),"X","")</f>
        <v/>
      </c>
      <c r="E39" s="52" t="str">
        <f>IF(ISNUMBER(SEARCH("Guidelines",'Data extraction-synthesis'!I38)),"X","")</f>
        <v/>
      </c>
      <c r="F39" s="52" t="str">
        <f>IF(ISNUMBER(SEARCH("Consensus meeting inputs",'Data extraction-synthesis'!I38)),"X","")</f>
        <v/>
      </c>
      <c r="G39" s="52" t="s">
        <v>372</v>
      </c>
      <c r="H39" s="52" t="str">
        <f>IF(ISNUMBER(SEARCH("Meeting input",'Data extraction-synthesis'!I38)),"X","")</f>
        <v/>
      </c>
      <c r="I39" s="52" t="str">
        <f>IF(ISNUMBER(SEARCH("Available data",'Data extraction-synthesis'!I38)),"X","")</f>
        <v/>
      </c>
      <c r="J39" s="52" t="str">
        <f>IF(ISNUMBER(SEARCH("Field observations",'Data extraction-synthesis'!I38)),"X","")</f>
        <v/>
      </c>
      <c r="K39" s="52" t="str">
        <f>IF(ISNUMBER(SEARCH("Laboratory evaluations",'Data extraction-synthesis'!I38)),"X","")</f>
        <v/>
      </c>
      <c r="L39" s="52" t="str">
        <f>IF(ISNUMBER(SEARCH("Models",'Data extraction-synthesis'!I38)),"X","")</f>
        <v/>
      </c>
      <c r="M39" s="52" t="str">
        <f>IF(ISNUMBER(SEARCH("Early usability studies",'Data extraction-synthesis'!I38)),"X","")</f>
        <v/>
      </c>
      <c r="N39" s="52" t="str">
        <f>IF(ISNUMBER(SEARCH("No input sources reported",'Data extraction-synthesis'!I38)),"X","")</f>
        <v>X</v>
      </c>
      <c r="O39" s="9" t="str">
        <f t="shared" si="0"/>
        <v>N/A</v>
      </c>
    </row>
    <row r="40" spans="1:15" ht="40.2">
      <c r="A40" s="56" t="s">
        <v>92</v>
      </c>
      <c r="B40" s="19" t="s">
        <v>93</v>
      </c>
      <c r="C40" s="52" t="str">
        <f>IF(ISNUMBER(SEARCH("Literature",'Data extraction-synthesis'!I39)),"X","")</f>
        <v/>
      </c>
      <c r="D40" s="52" t="str">
        <f>IF(ISNUMBER(SEARCH("Industry standard",'Data extraction-synthesis'!I39)),"X","")</f>
        <v/>
      </c>
      <c r="E40" s="52" t="str">
        <f>IF(ISNUMBER(SEARCH("Guidelines",'Data extraction-synthesis'!I39)),"X","")</f>
        <v/>
      </c>
      <c r="F40" s="52" t="str">
        <f>IF(ISNUMBER(SEARCH("Consensus meeting inputs",'Data extraction-synthesis'!I39)),"X","")</f>
        <v/>
      </c>
      <c r="G40" s="52" t="s">
        <v>372</v>
      </c>
      <c r="H40" s="52" t="str">
        <f>IF(ISNUMBER(SEARCH("Meeting input",'Data extraction-synthesis'!I39)),"X","")</f>
        <v/>
      </c>
      <c r="I40" s="52" t="str">
        <f>IF(ISNUMBER(SEARCH("Available data",'Data extraction-synthesis'!I39)),"X","")</f>
        <v/>
      </c>
      <c r="J40" s="52" t="str">
        <f>IF(ISNUMBER(SEARCH("Field observations",'Data extraction-synthesis'!I39)),"X","")</f>
        <v/>
      </c>
      <c r="K40" s="52" t="str">
        <f>IF(ISNUMBER(SEARCH("Laboratory evaluations",'Data extraction-synthesis'!I39)),"X","")</f>
        <v/>
      </c>
      <c r="L40" s="52" t="str">
        <f>IF(ISNUMBER(SEARCH("Models",'Data extraction-synthesis'!I39)),"X","")</f>
        <v/>
      </c>
      <c r="M40" s="52" t="str">
        <f>IF(ISNUMBER(SEARCH("Early usability studies",'Data extraction-synthesis'!I39)),"X","")</f>
        <v/>
      </c>
      <c r="N40" s="52" t="str">
        <f>IF(ISNUMBER(SEARCH("No input sources reported",'Data extraction-synthesis'!I39)),"X","")</f>
        <v>X</v>
      </c>
      <c r="O40" s="9" t="str">
        <f t="shared" si="0"/>
        <v>N/A</v>
      </c>
    </row>
    <row r="41" spans="1:15" ht="66.6">
      <c r="A41" s="56" t="s">
        <v>94</v>
      </c>
      <c r="B41" s="19" t="s">
        <v>95</v>
      </c>
      <c r="C41" s="52" t="str">
        <f>IF(ISNUMBER(SEARCH("Literature",'Data extraction-synthesis'!I40)),"X","")</f>
        <v/>
      </c>
      <c r="D41" s="52" t="str">
        <f>IF(ISNUMBER(SEARCH("Industry standard",'Data extraction-synthesis'!I40)),"X","")</f>
        <v/>
      </c>
      <c r="E41" s="52" t="str">
        <f>IF(ISNUMBER(SEARCH("Guidelines",'Data extraction-synthesis'!I40)),"X","")</f>
        <v/>
      </c>
      <c r="F41" s="52" t="str">
        <f>IF(ISNUMBER(SEARCH("Consensus meeting inputs",'Data extraction-synthesis'!I40)),"X","")</f>
        <v/>
      </c>
      <c r="G41" s="52"/>
      <c r="H41" s="52" t="str">
        <f>IF(ISNUMBER(SEARCH("Meeting input",'Data extraction-synthesis'!I40)),"X","")</f>
        <v/>
      </c>
      <c r="I41" s="52" t="str">
        <f>IF(ISNUMBER(SEARCH("Available data",'Data extraction-synthesis'!I40)),"X","")</f>
        <v/>
      </c>
      <c r="J41" s="52" t="str">
        <f>IF(ISNUMBER(SEARCH("Field observations",'Data extraction-synthesis'!I40)),"X","")</f>
        <v>X</v>
      </c>
      <c r="K41" s="52" t="str">
        <f>IF(ISNUMBER(SEARCH("Laboratory evaluations",'Data extraction-synthesis'!I40)),"X","")</f>
        <v/>
      </c>
      <c r="L41" s="52" t="str">
        <f>IF(ISNUMBER(SEARCH("Models",'Data extraction-synthesis'!I40)),"X","")</f>
        <v/>
      </c>
      <c r="M41" s="52" t="str">
        <f>IF(ISNUMBER(SEARCH("Early usability studies",'Data extraction-synthesis'!I40)),"X","")</f>
        <v/>
      </c>
      <c r="N41" s="52" t="str">
        <f>IF(ISNUMBER(SEARCH("No input sources reported",'Data extraction-synthesis'!I40)),"X","")</f>
        <v/>
      </c>
      <c r="O41" s="9" t="str">
        <f t="shared" si="0"/>
        <v>NO</v>
      </c>
    </row>
    <row r="42" spans="1:25" ht="53.4">
      <c r="A42" s="56" t="s">
        <v>58</v>
      </c>
      <c r="B42" s="19" t="s">
        <v>98</v>
      </c>
      <c r="C42" s="52" t="str">
        <f>IF(ISNUMBER(SEARCH("Literature",'Data extraction-synthesis'!I41)),"X","")</f>
        <v/>
      </c>
      <c r="D42" s="52" t="str">
        <f>IF(ISNUMBER(SEARCH("Industry standard",'Data extraction-synthesis'!I41)),"X","")</f>
        <v/>
      </c>
      <c r="E42" s="52" t="str">
        <f>IF(ISNUMBER(SEARCH("Guidelines",'Data extraction-synthesis'!I41)),"X","")</f>
        <v/>
      </c>
      <c r="F42" s="52" t="str">
        <f>IF(ISNUMBER(SEARCH("Consensus meeting inputs",'Data extraction-synthesis'!I41)),"X","")</f>
        <v/>
      </c>
      <c r="G42" s="52" t="s">
        <v>372</v>
      </c>
      <c r="H42" s="52" t="str">
        <f>IF(ISNUMBER(SEARCH("Meeting input",'Data extraction-synthesis'!I41)),"X","")</f>
        <v/>
      </c>
      <c r="I42" s="52" t="str">
        <f>IF(ISNUMBER(SEARCH("Available data",'Data extraction-synthesis'!I41)),"X","")</f>
        <v/>
      </c>
      <c r="J42" s="52" t="str">
        <f>IF(ISNUMBER(SEARCH("Field observations",'Data extraction-synthesis'!I41)),"X","")</f>
        <v/>
      </c>
      <c r="K42" s="52" t="str">
        <f>IF(ISNUMBER(SEARCH("Laboratory evaluations",'Data extraction-synthesis'!I41)),"X","")</f>
        <v/>
      </c>
      <c r="L42" s="52" t="str">
        <f>IF(ISNUMBER(SEARCH("Models",'Data extraction-synthesis'!I41)),"X","")</f>
        <v/>
      </c>
      <c r="M42" s="52" t="str">
        <f>IF(ISNUMBER(SEARCH("Early usability studies",'Data extraction-synthesis'!I41)),"X","")</f>
        <v/>
      </c>
      <c r="N42" s="52" t="str">
        <f>IF(ISNUMBER(SEARCH("No input sources reported",'Data extraction-synthesis'!I41)),"X","")</f>
        <v>X</v>
      </c>
      <c r="O42" s="9" t="str">
        <f t="shared" si="0"/>
        <v>N/A</v>
      </c>
      <c r="Y42" s="44"/>
    </row>
    <row r="43" spans="1:20" ht="53.4">
      <c r="A43" s="56" t="s">
        <v>61</v>
      </c>
      <c r="B43" s="19" t="s">
        <v>99</v>
      </c>
      <c r="C43" s="52" t="str">
        <f>IF(ISNUMBER(SEARCH("Literature",'Data extraction-synthesis'!I42)),"X","")</f>
        <v>X</v>
      </c>
      <c r="D43" s="52" t="str">
        <f>IF(ISNUMBER(SEARCH("Industry standard",'Data extraction-synthesis'!I42)),"X","")</f>
        <v/>
      </c>
      <c r="E43" s="52" t="str">
        <f>IF(ISNUMBER(SEARCH("Guidelines",'Data extraction-synthesis'!I42)),"X","")</f>
        <v>X</v>
      </c>
      <c r="F43" s="52" t="str">
        <f>IF(ISNUMBER(SEARCH("Consensus meeting inputs",'Data extraction-synthesis'!I42)),"X","")</f>
        <v/>
      </c>
      <c r="G43" s="52" t="s">
        <v>208</v>
      </c>
      <c r="H43" s="52" t="str">
        <f>IF(ISNUMBER(SEARCH("Meeting input",'Data extraction-synthesis'!I42)),"X","")</f>
        <v/>
      </c>
      <c r="I43" s="52" t="str">
        <f>IF(ISNUMBER(SEARCH("Available data",'Data extraction-synthesis'!I42)),"X","")</f>
        <v>X</v>
      </c>
      <c r="J43" s="52" t="str">
        <f>IF(ISNUMBER(SEARCH("Field observations",'Data extraction-synthesis'!I42)),"X","")</f>
        <v/>
      </c>
      <c r="K43" s="52" t="str">
        <f>IF(ISNUMBER(SEARCH("Laboratory evaluations",'Data extraction-synthesis'!I42)),"X","")</f>
        <v/>
      </c>
      <c r="L43" s="52" t="str">
        <f>IF(ISNUMBER(SEARCH("Models",'Data extraction-synthesis'!I42)),"X","")</f>
        <v/>
      </c>
      <c r="M43" s="52" t="str">
        <f>IF(ISNUMBER(SEARCH("Early usability studies",'Data extraction-synthesis'!I42)),"X","")</f>
        <v/>
      </c>
      <c r="N43" s="52" t="str">
        <f>IF(ISNUMBER(SEARCH("No input sources reported",'Data extraction-synthesis'!I42)),"X","")</f>
        <v/>
      </c>
      <c r="O43" s="9" t="str">
        <f t="shared" si="0"/>
        <v>YES</v>
      </c>
      <c r="T43" s="10" t="s">
        <v>519</v>
      </c>
    </row>
    <row r="44" spans="1:21" ht="53.4">
      <c r="A44" s="56" t="s">
        <v>100</v>
      </c>
      <c r="B44" s="19" t="s">
        <v>101</v>
      </c>
      <c r="C44" s="52" t="str">
        <f>IF(ISNUMBER(SEARCH("Literature",'Data extraction-synthesis'!I43)),"X","")</f>
        <v/>
      </c>
      <c r="D44" s="52" t="str">
        <f>IF(ISNUMBER(SEARCH("Industry standard",'Data extraction-synthesis'!I43)),"X","")</f>
        <v/>
      </c>
      <c r="E44" s="52" t="str">
        <f>IF(ISNUMBER(SEARCH("Guidelines",'Data extraction-synthesis'!I43)),"X","")</f>
        <v/>
      </c>
      <c r="F44" s="52" t="str">
        <f>IF(ISNUMBER(SEARCH("Consensus meeting inputs",'Data extraction-synthesis'!I43)),"X","")</f>
        <v/>
      </c>
      <c r="G44" s="52"/>
      <c r="H44" s="52" t="str">
        <f>IF(ISNUMBER(SEARCH("Meeting input",'Data extraction-synthesis'!I43)),"X","")</f>
        <v/>
      </c>
      <c r="I44" s="52" t="str">
        <f>IF(ISNUMBER(SEARCH("Available data",'Data extraction-synthesis'!I43)),"X","")</f>
        <v/>
      </c>
      <c r="J44" s="52" t="str">
        <f>IF(ISNUMBER(SEARCH("Field observations",'Data extraction-synthesis'!I43)),"X","")</f>
        <v/>
      </c>
      <c r="K44" s="52" t="str">
        <f>IF(ISNUMBER(SEARCH("Laboratory evaluations",'Data extraction-synthesis'!I43)),"X","")</f>
        <v/>
      </c>
      <c r="L44" s="52" t="str">
        <f>IF(ISNUMBER(SEARCH("Models",'Data extraction-synthesis'!I43)),"X","")</f>
        <v/>
      </c>
      <c r="M44" s="52" t="str">
        <f>IF(ISNUMBER(SEARCH("Early usability studies",'Data extraction-synthesis'!I43)),"X","")</f>
        <v/>
      </c>
      <c r="N44" s="52" t="str">
        <f>IF(ISNUMBER(SEARCH("No input sources reported",'Data extraction-synthesis'!I43)),"X","")</f>
        <v/>
      </c>
      <c r="O44" s="9" t="str">
        <f t="shared" si="0"/>
        <v>NO</v>
      </c>
      <c r="U44" t="s">
        <v>96</v>
      </c>
    </row>
    <row r="45" spans="1:20" ht="79.8">
      <c r="A45" s="56" t="s">
        <v>61</v>
      </c>
      <c r="B45" s="19" t="s">
        <v>103</v>
      </c>
      <c r="C45" s="52" t="str">
        <f>IF(ISNUMBER(SEARCH("Literature",'Data extraction-synthesis'!I44)),"X","")</f>
        <v>X</v>
      </c>
      <c r="D45" s="52" t="str">
        <f>IF(ISNUMBER(SEARCH("Industry standard",'Data extraction-synthesis'!I44)),"X","")</f>
        <v/>
      </c>
      <c r="E45" s="52" t="str">
        <f>IF(ISNUMBER(SEARCH("Guidelines",'Data extraction-synthesis'!I44)),"X","")</f>
        <v>X</v>
      </c>
      <c r="F45" s="52" t="str">
        <f>IF(ISNUMBER(SEARCH("Consensus meeting inputs",'Data extraction-synthesis'!I44)),"X","")</f>
        <v/>
      </c>
      <c r="G45" s="52" t="s">
        <v>208</v>
      </c>
      <c r="H45" s="52" t="str">
        <f>IF(ISNUMBER(SEARCH("Meeting input",'Data extraction-synthesis'!I44)),"X","")</f>
        <v/>
      </c>
      <c r="I45" s="52" t="str">
        <f>IF(ISNUMBER(SEARCH("Available data",'Data extraction-synthesis'!I44)),"X","")</f>
        <v>X</v>
      </c>
      <c r="J45" s="52" t="str">
        <f>IF(ISNUMBER(SEARCH("Field observations",'Data extraction-synthesis'!I44)),"X","")</f>
        <v>X</v>
      </c>
      <c r="K45" s="52" t="str">
        <f>IF(ISNUMBER(SEARCH("Laboratory evaluations",'Data extraction-synthesis'!I44)),"X","")</f>
        <v/>
      </c>
      <c r="L45" s="52" t="str">
        <f>IF(ISNUMBER(SEARCH("Models",'Data extraction-synthesis'!I44)),"X","")</f>
        <v/>
      </c>
      <c r="M45" s="52" t="str">
        <f>IF(ISNUMBER(SEARCH("Early usability studies",'Data extraction-synthesis'!I44)),"X","")</f>
        <v/>
      </c>
      <c r="N45" s="52" t="str">
        <f>IF(ISNUMBER(SEARCH("No input sources reported",'Data extraction-synthesis'!I44)),"X","")</f>
        <v/>
      </c>
      <c r="O45" s="9" t="str">
        <f t="shared" si="0"/>
        <v>YES</v>
      </c>
      <c r="T45" s="10" t="s">
        <v>519</v>
      </c>
    </row>
    <row r="46" spans="1:15" ht="27">
      <c r="A46" s="56" t="s">
        <v>347</v>
      </c>
      <c r="B46" s="19" t="s">
        <v>348</v>
      </c>
      <c r="C46" s="52" t="str">
        <f>IF(ISNUMBER(SEARCH("Literature",'Data extraction-synthesis'!I45)),"X","")</f>
        <v/>
      </c>
      <c r="D46" s="52" t="str">
        <f>IF(ISNUMBER(SEARCH("Industry standard",'Data extraction-synthesis'!I45)),"X","")</f>
        <v/>
      </c>
      <c r="E46" s="52" t="str">
        <f>IF(ISNUMBER(SEARCH("Guidelines",'Data extraction-synthesis'!I45)),"X","")</f>
        <v/>
      </c>
      <c r="F46" s="52" t="str">
        <f>IF(ISNUMBER(SEARCH("Consensus meeting inputs",'Data extraction-synthesis'!I45)),"X","")</f>
        <v/>
      </c>
      <c r="G46" s="52" t="s">
        <v>208</v>
      </c>
      <c r="H46" s="52" t="str">
        <f>IF(ISNUMBER(SEARCH("Meeting input",'Data extraction-synthesis'!I45)),"X","")</f>
        <v/>
      </c>
      <c r="I46" s="52" t="str">
        <f>IF(ISNUMBER(SEARCH("Available data",'Data extraction-synthesis'!I45)),"X","")</f>
        <v/>
      </c>
      <c r="J46" s="52" t="str">
        <f>IF(ISNUMBER(SEARCH("Field observations",'Data extraction-synthesis'!I45)),"X","")</f>
        <v/>
      </c>
      <c r="K46" s="52" t="str">
        <f>IF(ISNUMBER(SEARCH("Laboratory evaluations",'Data extraction-synthesis'!I45)),"X","")</f>
        <v/>
      </c>
      <c r="L46" s="52" t="str">
        <f>IF(ISNUMBER(SEARCH("Models",'Data extraction-synthesis'!I45)),"X","")</f>
        <v/>
      </c>
      <c r="M46" s="52" t="str">
        <f>IF(ISNUMBER(SEARCH("Early usability studies",'Data extraction-synthesis'!I45)),"X","")</f>
        <v/>
      </c>
      <c r="N46" s="52" t="str">
        <f>IF(ISNUMBER(SEARCH("No input sources reported",'Data extraction-synthesis'!I45)),"X","")</f>
        <v/>
      </c>
      <c r="O46" s="9" t="str">
        <f t="shared" si="0"/>
        <v>NO</v>
      </c>
    </row>
    <row r="47" spans="2:14" ht="16.2" thickBot="1">
      <c r="B47" s="23" t="s">
        <v>180</v>
      </c>
      <c r="C47" s="24">
        <f>COUNTIF(C3:C46,"X")</f>
        <v>22</v>
      </c>
      <c r="D47" s="24">
        <f aca="true" t="shared" si="1" ref="D47:N47">COUNTIF(D3:D46,"X")</f>
        <v>1</v>
      </c>
      <c r="E47" s="24">
        <f t="shared" si="1"/>
        <v>6</v>
      </c>
      <c r="F47" s="24">
        <f t="shared" si="1"/>
        <v>3</v>
      </c>
      <c r="G47" s="24">
        <f t="shared" si="1"/>
        <v>24</v>
      </c>
      <c r="H47" s="24">
        <f t="shared" si="1"/>
        <v>8</v>
      </c>
      <c r="I47" s="24">
        <f t="shared" si="1"/>
        <v>7</v>
      </c>
      <c r="J47" s="24">
        <f t="shared" si="1"/>
        <v>5</v>
      </c>
      <c r="K47" s="24">
        <f t="shared" si="1"/>
        <v>1</v>
      </c>
      <c r="L47" s="24">
        <f t="shared" si="1"/>
        <v>9</v>
      </c>
      <c r="M47" s="24">
        <f t="shared" si="1"/>
        <v>1</v>
      </c>
      <c r="N47" s="24">
        <f t="shared" si="1"/>
        <v>11</v>
      </c>
    </row>
    <row r="48" spans="1:14" ht="16.8" thickBot="1" thickTop="1">
      <c r="A48" s="56"/>
      <c r="C48" s="90">
        <f aca="true" t="shared" si="2" ref="C48:N48">C47/33</f>
        <v>0.6666666666666666</v>
      </c>
      <c r="D48" s="90">
        <f t="shared" si="2"/>
        <v>0.030303030303030304</v>
      </c>
      <c r="E48" s="90">
        <f t="shared" si="2"/>
        <v>0.18181818181818182</v>
      </c>
      <c r="F48" s="90">
        <f t="shared" si="2"/>
        <v>0.09090909090909091</v>
      </c>
      <c r="G48" s="90">
        <f t="shared" si="2"/>
        <v>0.7272727272727273</v>
      </c>
      <c r="H48" s="90">
        <f t="shared" si="2"/>
        <v>0.24242424242424243</v>
      </c>
      <c r="I48" s="90">
        <f t="shared" si="2"/>
        <v>0.21212121212121213</v>
      </c>
      <c r="J48" s="90">
        <f t="shared" si="2"/>
        <v>0.15151515151515152</v>
      </c>
      <c r="K48" s="90">
        <f t="shared" si="2"/>
        <v>0.030303030303030304</v>
      </c>
      <c r="L48" s="90">
        <f t="shared" si="2"/>
        <v>0.2727272727272727</v>
      </c>
      <c r="M48" s="90">
        <f t="shared" si="2"/>
        <v>0.030303030303030304</v>
      </c>
      <c r="N48" s="90">
        <f t="shared" si="2"/>
        <v>0.3333333333333333</v>
      </c>
    </row>
    <row r="49" ht="16.2" thickTop="1"/>
  </sheetData>
  <sheetProtection sheet="1" objects="1" scenarios="1"/>
  <mergeCells count="1">
    <mergeCell ref="C1:N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dimension ref="A1:R48"/>
  <sheetViews>
    <sheetView zoomScale="70" zoomScaleNormal="70" workbookViewId="0" topLeftCell="A1">
      <pane xSplit="2" ySplit="2" topLeftCell="C42" activePane="bottomRight" state="frozen"/>
      <selection pane="topRight" activeCell="B1" sqref="B1"/>
      <selection pane="bottomLeft" activeCell="A3" sqref="A3"/>
      <selection pane="bottomRight" activeCell="J47" sqref="J47"/>
    </sheetView>
  </sheetViews>
  <sheetFormatPr defaultColWidth="9.00390625" defaultRowHeight="15.75"/>
  <cols>
    <col min="1" max="1" width="13.625" style="0" customWidth="1"/>
    <col min="2" max="2" width="20.625" style="0" customWidth="1"/>
    <col min="3" max="3" width="13.625" style="0" customWidth="1"/>
    <col min="4" max="4" width="12.875" style="0" customWidth="1"/>
    <col min="5" max="5" width="14.00390625" style="0" customWidth="1"/>
    <col min="6" max="6" width="12.25390625" style="0" customWidth="1"/>
    <col min="7" max="7" width="19.125" style="0" customWidth="1"/>
    <col min="8" max="8" width="13.50390625" style="0" customWidth="1"/>
    <col min="9" max="9" width="13.125" style="0" customWidth="1"/>
    <col min="10" max="10" width="14.00390625" style="0" customWidth="1"/>
    <col min="11" max="11" width="13.50390625" style="0" customWidth="1"/>
    <col min="12" max="12" width="12.625" style="0" customWidth="1"/>
    <col min="13" max="13" width="12.375" style="0" customWidth="1"/>
    <col min="14" max="14" width="11.50390625" style="0" customWidth="1"/>
    <col min="15" max="15" width="11.625" style="0" customWidth="1"/>
  </cols>
  <sheetData>
    <row r="1" spans="3:15" ht="48" customHeight="1">
      <c r="C1" s="191" t="s">
        <v>449</v>
      </c>
      <c r="D1" s="192"/>
      <c r="E1" s="192"/>
      <c r="F1" s="192"/>
      <c r="G1" s="192"/>
      <c r="H1" s="192"/>
      <c r="I1" s="192"/>
      <c r="J1" s="192"/>
      <c r="K1" s="192"/>
      <c r="L1" s="192"/>
      <c r="M1" s="192"/>
      <c r="N1" s="192"/>
      <c r="O1" s="192"/>
    </row>
    <row r="2" spans="1:18" ht="66.6">
      <c r="A2" s="87" t="s">
        <v>447</v>
      </c>
      <c r="B2" s="87" t="s">
        <v>2</v>
      </c>
      <c r="C2" s="88" t="s">
        <v>29</v>
      </c>
      <c r="D2" s="89" t="s">
        <v>109</v>
      </c>
      <c r="E2" s="89" t="s">
        <v>113</v>
      </c>
      <c r="F2" s="89" t="s">
        <v>96</v>
      </c>
      <c r="G2" s="89" t="s">
        <v>157</v>
      </c>
      <c r="H2" s="89" t="s">
        <v>15</v>
      </c>
      <c r="I2" s="89" t="s">
        <v>122</v>
      </c>
      <c r="J2" s="89" t="s">
        <v>158</v>
      </c>
      <c r="K2" s="89" t="s">
        <v>129</v>
      </c>
      <c r="L2" s="89" t="s">
        <v>131</v>
      </c>
      <c r="M2" s="89" t="s">
        <v>135</v>
      </c>
      <c r="N2" s="89" t="s">
        <v>206</v>
      </c>
      <c r="O2" s="89" t="s">
        <v>207</v>
      </c>
      <c r="P2" s="8" t="s">
        <v>177</v>
      </c>
      <c r="Q2" s="8" t="s">
        <v>178</v>
      </c>
      <c r="R2" s="8" t="s">
        <v>179</v>
      </c>
    </row>
    <row r="3" spans="1:18" ht="53.4">
      <c r="A3" s="56" t="s">
        <v>11</v>
      </c>
      <c r="B3" s="19" t="s">
        <v>12</v>
      </c>
      <c r="C3" s="20" t="str">
        <f>IF(ISNUMBER(SEARCH("Literature",'Data extraction-synthesis'!J2)),"X","")</f>
        <v/>
      </c>
      <c r="D3" s="20" t="str">
        <f>IF(ISNUMBER(SEARCH("Industry standard",'Data extraction-synthesis'!J2)),"X","")</f>
        <v/>
      </c>
      <c r="E3" s="20" t="str">
        <f>IF(ISNUMBER(SEARCH("Guidelines",'Data extraction-synthesis'!J2)),"X","")</f>
        <v/>
      </c>
      <c r="F3" s="20" t="str">
        <f>IF(ISNUMBER(SEARCH("Interviews with experts",'Data extraction-synthesis'!J2)),"X","")</f>
        <v/>
      </c>
      <c r="G3" s="20" t="str">
        <f>IF(ISNUMBER(SEARCH("Surveys with experts/expert opinion",'Data extraction-synthesis'!J2)),"X","")</f>
        <v/>
      </c>
      <c r="H3" s="20" t="str">
        <f>IF(ISNUMBER(SEARCH("Consensus meeting inputs",'Data extraction-synthesis'!J2)),"X","")</f>
        <v/>
      </c>
      <c r="I3" s="20" t="str">
        <f>IF(ISNUMBER(SEARCH("Available data",'Data extraction-synthesis'!J2)),"X","")</f>
        <v/>
      </c>
      <c r="J3" s="20" t="str">
        <f>IF(ISNUMBER(SEARCH("Field observations",'Data extraction-synthesis'!J2)),"X","")</f>
        <v/>
      </c>
      <c r="K3" s="20" t="str">
        <f>IF(ISNUMBER(SEARCH("Laboratory evaluations",'Data extraction-synthesis'!J2)),"X","")</f>
        <v/>
      </c>
      <c r="L3" s="20" t="str">
        <f>IF(ISNUMBER(SEARCH("Models",'Data extraction-synthesis'!J2)),"X","")</f>
        <v/>
      </c>
      <c r="M3" s="20" t="str">
        <f>IF(ISNUMBER(SEARCH("Early usability studies",'Data extraction-synthesis'!J2)),"X","")</f>
        <v/>
      </c>
      <c r="N3" s="20" t="str">
        <f>IF(ISNUMBER(SEARCH("No input sources reported",'Data extraction-synthesis'!J2)),"X","")</f>
        <v>X</v>
      </c>
      <c r="O3" s="20" t="str">
        <f>IF(ISNUMBER(SEARCH("N/A",'Data extraction-synthesis'!J2)),"X","")</f>
        <v/>
      </c>
      <c r="P3" s="9" t="str">
        <f aca="true" t="shared" si="0" ref="P3:P46">IF(OR(O3="X",N3="X"),"N/A",IF((COUNTIF(C3:O3,"X"))&gt;1,"YES","NO"))</f>
        <v>N/A</v>
      </c>
      <c r="Q3" s="21">
        <f>COUNTIF(P3:P46,"NO")/44</f>
        <v>0.22727272727272727</v>
      </c>
      <c r="R3" s="21">
        <f>COUNTIF(P3:P46,"YES")/44</f>
        <v>0.1590909090909091</v>
      </c>
    </row>
    <row r="4" spans="1:16" ht="66.6">
      <c r="A4" s="56" t="s">
        <v>19</v>
      </c>
      <c r="B4" s="19" t="s">
        <v>20</v>
      </c>
      <c r="C4" s="20"/>
      <c r="D4" s="20" t="str">
        <f>IF(ISNUMBER(SEARCH("Industry standard",'Data extraction-synthesis'!J3)),"X","")</f>
        <v/>
      </c>
      <c r="E4" s="20" t="str">
        <f>IF(ISNUMBER(SEARCH("Guidelines",'Data extraction-synthesis'!J3)),"X","")</f>
        <v/>
      </c>
      <c r="F4" s="20" t="str">
        <f>IF(ISNUMBER(SEARCH("Interviews with experts",'Data extraction-synthesis'!J3)),"X","")</f>
        <v/>
      </c>
      <c r="G4" s="20" t="str">
        <f>IF(ISNUMBER(SEARCH("Surveys with experts/expert opinion",'Data extraction-synthesis'!J3)),"X","")</f>
        <v/>
      </c>
      <c r="H4" s="20" t="str">
        <f>IF(ISNUMBER(SEARCH("Consensus meeting inputs",'Data extraction-synthesis'!J3)),"X","")</f>
        <v/>
      </c>
      <c r="I4" s="20" t="str">
        <f>IF(ISNUMBER(SEARCH("Available data",'Data extraction-synthesis'!J3)),"X","")</f>
        <v/>
      </c>
      <c r="J4" s="20" t="str">
        <f>IF(ISNUMBER(SEARCH("Field observations",'Data extraction-synthesis'!J3)),"X","")</f>
        <v/>
      </c>
      <c r="K4" s="20" t="str">
        <f>IF(ISNUMBER(SEARCH("Laboratory evaluations",'Data extraction-synthesis'!J3)),"X","")</f>
        <v/>
      </c>
      <c r="L4" s="20"/>
      <c r="M4" s="20" t="str">
        <f>IF(ISNUMBER(SEARCH("Early usability studies",'Data extraction-synthesis'!J3)),"X","")</f>
        <v/>
      </c>
      <c r="N4" s="82" t="s">
        <v>198</v>
      </c>
      <c r="O4" s="20" t="str">
        <f>IF(ISNUMBER(SEARCH("N/A",'Data extraction-synthesis'!J3)),"X","")</f>
        <v/>
      </c>
      <c r="P4" s="9" t="str">
        <f t="shared" si="0"/>
        <v>N/A</v>
      </c>
    </row>
    <row r="5" spans="1:16" ht="40.2">
      <c r="A5" s="56" t="s">
        <v>22</v>
      </c>
      <c r="B5" s="19" t="s">
        <v>23</v>
      </c>
      <c r="C5" s="20"/>
      <c r="D5" s="20" t="str">
        <f>IF(ISNUMBER(SEARCH("Industry standard",'Data extraction-synthesis'!J4)),"X","")</f>
        <v/>
      </c>
      <c r="E5" s="20" t="str">
        <f>IF(ISNUMBER(SEARCH("Guidelines",'Data extraction-synthesis'!J4)),"X","")</f>
        <v/>
      </c>
      <c r="F5" s="20" t="str">
        <f>IF(ISNUMBER(SEARCH("Interviews with experts",'Data extraction-synthesis'!J4)),"X","")</f>
        <v/>
      </c>
      <c r="G5" s="20" t="str">
        <f>IF(ISNUMBER(SEARCH("Surveys with experts/expert opinion",'Data extraction-synthesis'!J4)),"X","")</f>
        <v/>
      </c>
      <c r="H5" s="20" t="str">
        <f>IF(ISNUMBER(SEARCH("Consensus meeting inputs",'Data extraction-synthesis'!J4)),"X","")</f>
        <v/>
      </c>
      <c r="I5" s="20" t="str">
        <f>IF(ISNUMBER(SEARCH("Available data",'Data extraction-synthesis'!J4)),"X","")</f>
        <v/>
      </c>
      <c r="J5" s="20" t="str">
        <f>IF(ISNUMBER(SEARCH("Field observations",'Data extraction-synthesis'!J4)),"X","")</f>
        <v/>
      </c>
      <c r="K5" s="20" t="str">
        <f>IF(ISNUMBER(SEARCH("Laboratory evaluations",'Data extraction-synthesis'!J4)),"X","")</f>
        <v/>
      </c>
      <c r="L5" s="20"/>
      <c r="M5" s="20" t="str">
        <f>IF(ISNUMBER(SEARCH("Early usability studies",'Data extraction-synthesis'!J4)),"X","")</f>
        <v/>
      </c>
      <c r="N5" s="20" t="str">
        <f>IF(ISNUMBER(SEARCH("No input sources reported",'Data extraction-synthesis'!J4)),"X","")</f>
        <v/>
      </c>
      <c r="O5" s="20" t="str">
        <f>IF(ISNUMBER(SEARCH("N/A",'Data extraction-synthesis'!J4)),"X","")</f>
        <v/>
      </c>
      <c r="P5" s="9" t="str">
        <f t="shared" si="0"/>
        <v>NO</v>
      </c>
    </row>
    <row r="6" spans="1:16" ht="66.6">
      <c r="A6" s="56" t="s">
        <v>25</v>
      </c>
      <c r="B6" s="19" t="s">
        <v>26</v>
      </c>
      <c r="C6" s="20" t="str">
        <f>IF(ISNUMBER(SEARCH("Literature",'Data extraction-synthesis'!J5)),"X","")</f>
        <v>X</v>
      </c>
      <c r="D6" s="20" t="str">
        <f>IF(ISNUMBER(SEARCH("Industry standard",'Data extraction-synthesis'!J5)),"X","")</f>
        <v/>
      </c>
      <c r="E6" s="20" t="str">
        <f>IF(ISNUMBER(SEARCH("Guidelines",'Data extraction-synthesis'!J5)),"X","")</f>
        <v/>
      </c>
      <c r="F6" s="20" t="str">
        <f>IF(ISNUMBER(SEARCH("Interviews with experts",'Data extraction-synthesis'!J5)),"X","")</f>
        <v/>
      </c>
      <c r="G6" s="20" t="str">
        <f>IF(ISNUMBER(SEARCH("Surveys with experts/expert opinion",'Data extraction-synthesis'!J5)),"X","")</f>
        <v>X</v>
      </c>
      <c r="H6" s="20" t="str">
        <f>IF(ISNUMBER(SEARCH("Consensus meeting inputs",'Data extraction-synthesis'!J5)),"X","")</f>
        <v/>
      </c>
      <c r="I6" s="20" t="str">
        <f>IF(ISNUMBER(SEARCH("Available data",'Data extraction-synthesis'!J5)),"X","")</f>
        <v/>
      </c>
      <c r="J6" s="20" t="str">
        <f>IF(ISNUMBER(SEARCH("Field observations",'Data extraction-synthesis'!J5)),"X","")</f>
        <v/>
      </c>
      <c r="K6" s="20" t="str">
        <f>IF(ISNUMBER(SEARCH("Laboratory evaluations",'Data extraction-synthesis'!J5)),"X","")</f>
        <v/>
      </c>
      <c r="L6" s="20" t="str">
        <f>IF(ISNUMBER(SEARCH("Models",'Data extraction-synthesis'!J5)),"X","")</f>
        <v/>
      </c>
      <c r="M6" s="20" t="str">
        <f>IF(ISNUMBER(SEARCH("Early usability studies",'Data extraction-synthesis'!J5)),"X","")</f>
        <v/>
      </c>
      <c r="N6" s="20" t="str">
        <f>IF(ISNUMBER(SEARCH("No input sources reported",'Data extraction-synthesis'!J5)),"X","")</f>
        <v/>
      </c>
      <c r="O6" s="20" t="str">
        <f>IF(ISNUMBER(SEARCH("N/A",'Data extraction-synthesis'!J5)),"X","")</f>
        <v/>
      </c>
      <c r="P6" s="9" t="str">
        <f t="shared" si="0"/>
        <v>YES</v>
      </c>
    </row>
    <row r="7" spans="1:16" ht="79.8">
      <c r="A7" s="56" t="s">
        <v>31</v>
      </c>
      <c r="B7" s="19" t="s">
        <v>32</v>
      </c>
      <c r="C7" s="82" t="s">
        <v>198</v>
      </c>
      <c r="D7" s="20" t="str">
        <f>IF(ISNUMBER(SEARCH("Industry standard",'Data extraction-synthesis'!J6)),"X","")</f>
        <v/>
      </c>
      <c r="E7" s="20" t="str">
        <f>IF(ISNUMBER(SEARCH("Guidelines",'Data extraction-synthesis'!J6)),"X","")</f>
        <v/>
      </c>
      <c r="F7" s="20" t="str">
        <f>IF(ISNUMBER(SEARCH("Interviews with experts",'Data extraction-synthesis'!J6)),"X","")</f>
        <v/>
      </c>
      <c r="G7" s="20" t="str">
        <f>IF(ISNUMBER(SEARCH("Surveys with experts/expert opinion",'Data extraction-synthesis'!J6)),"X","")</f>
        <v/>
      </c>
      <c r="H7" s="20" t="str">
        <f>IF(ISNUMBER(SEARCH("Consensus meeting inputs",'Data extraction-synthesis'!J6)),"X","")</f>
        <v/>
      </c>
      <c r="I7" s="20" t="str">
        <f>IF(ISNUMBER(SEARCH("Available data",'Data extraction-synthesis'!J6)),"X","")</f>
        <v/>
      </c>
      <c r="J7" s="20" t="str">
        <f>IF(ISNUMBER(SEARCH("Field observations",'Data extraction-synthesis'!J6)),"X","")</f>
        <v/>
      </c>
      <c r="K7" s="20" t="str">
        <f>IF(ISNUMBER(SEARCH("Laboratory evaluations",'Data extraction-synthesis'!J6)),"X","")</f>
        <v/>
      </c>
      <c r="L7" s="82" t="s">
        <v>198</v>
      </c>
      <c r="M7" s="20" t="str">
        <f>IF(ISNUMBER(SEARCH("Early usability studies",'Data extraction-synthesis'!J6)),"X","")</f>
        <v/>
      </c>
      <c r="N7" s="20" t="str">
        <f>IF(ISNUMBER(SEARCH("No input sources reported",'Data extraction-synthesis'!J6)),"X","")</f>
        <v/>
      </c>
      <c r="O7" s="20" t="str">
        <f>IF(ISNUMBER(SEARCH("N/A",'Data extraction-synthesis'!J6)),"X","")</f>
        <v/>
      </c>
      <c r="P7" s="9" t="str">
        <f t="shared" si="0"/>
        <v>YES</v>
      </c>
    </row>
    <row r="8" spans="1:16" ht="119.4">
      <c r="A8" s="56" t="s">
        <v>34</v>
      </c>
      <c r="B8" s="19" t="s">
        <v>35</v>
      </c>
      <c r="C8" s="20" t="str">
        <f>IF(ISNUMBER(SEARCH("Literature",'Data extraction-synthesis'!J7)),"X","")</f>
        <v/>
      </c>
      <c r="D8" s="20" t="str">
        <f>IF(ISNUMBER(SEARCH("Industry standard",'Data extraction-synthesis'!J7)),"X","")</f>
        <v/>
      </c>
      <c r="E8" s="20" t="str">
        <f>IF(ISNUMBER(SEARCH("Guidelines",'Data extraction-synthesis'!J7)),"X","")</f>
        <v/>
      </c>
      <c r="F8" s="20" t="str">
        <f>IF(ISNUMBER(SEARCH("Interviews with experts",'Data extraction-synthesis'!J7)),"X","")</f>
        <v/>
      </c>
      <c r="G8" s="20" t="str">
        <f>IF(ISNUMBER(SEARCH("Surveys with experts/expert opinion",'Data extraction-synthesis'!J7)),"X","")</f>
        <v>X</v>
      </c>
      <c r="H8" s="20" t="str">
        <f>IF(ISNUMBER(SEARCH("Consensus meeting inputs",'Data extraction-synthesis'!J7)),"X","")</f>
        <v/>
      </c>
      <c r="I8" s="20" t="str">
        <f>IF(ISNUMBER(SEARCH("Available data",'Data extraction-synthesis'!J7)),"X","")</f>
        <v/>
      </c>
      <c r="J8" s="20" t="str">
        <f>IF(ISNUMBER(SEARCH("Field observations",'Data extraction-synthesis'!J7)),"X","")</f>
        <v/>
      </c>
      <c r="K8" s="20" t="str">
        <f>IF(ISNUMBER(SEARCH("Laboratory evaluations",'Data extraction-synthesis'!J7)),"X","")</f>
        <v/>
      </c>
      <c r="L8" s="20" t="str">
        <f>IF(ISNUMBER(SEARCH("Models",'Data extraction-synthesis'!J7)),"X","")</f>
        <v/>
      </c>
      <c r="M8" s="20" t="str">
        <f>IF(ISNUMBER(SEARCH("Early usability studies",'Data extraction-synthesis'!J7)),"X","")</f>
        <v/>
      </c>
      <c r="N8" s="20" t="str">
        <f>IF(ISNUMBER(SEARCH("No input sources reported",'Data extraction-synthesis'!J7)),"X","")</f>
        <v/>
      </c>
      <c r="O8" s="20" t="str">
        <f>IF(ISNUMBER(SEARCH("N/A",'Data extraction-synthesis'!J7)),"X","")</f>
        <v/>
      </c>
      <c r="P8" s="9" t="str">
        <f t="shared" si="0"/>
        <v>NO</v>
      </c>
    </row>
    <row r="9" spans="1:16" ht="66.6">
      <c r="A9" s="56" t="s">
        <v>55</v>
      </c>
      <c r="B9" s="19" t="s">
        <v>56</v>
      </c>
      <c r="C9" s="20" t="str">
        <f>IF(ISNUMBER(SEARCH("Literature",'Data extraction-synthesis'!J16)),"X","")</f>
        <v>X</v>
      </c>
      <c r="D9" s="20" t="str">
        <f>IF(ISNUMBER(SEARCH("Industry standard",'Data extraction-synthesis'!J16)),"X","")</f>
        <v/>
      </c>
      <c r="E9" s="20" t="str">
        <f>IF(ISNUMBER(SEARCH("Guidelines",'Data extraction-synthesis'!J16)),"X","")</f>
        <v/>
      </c>
      <c r="F9" s="20" t="str">
        <f>IF(ISNUMBER(SEARCH("Interviews with experts",'Data extraction-synthesis'!J16)),"X","")</f>
        <v/>
      </c>
      <c r="G9" s="20" t="str">
        <f>IF(ISNUMBER(SEARCH("Surveys with experts/expert opinion",'Data extraction-synthesis'!J16)),"X","")</f>
        <v>X</v>
      </c>
      <c r="H9" s="20" t="str">
        <f>IF(ISNUMBER(SEARCH("Consensus meeting inputs",'Data extraction-synthesis'!J16)),"X","")</f>
        <v/>
      </c>
      <c r="I9" s="20" t="str">
        <f>IF(ISNUMBER(SEARCH("Available data",'Data extraction-synthesis'!J16)),"X","")</f>
        <v/>
      </c>
      <c r="J9" s="20" t="str">
        <f>IF(ISNUMBER(SEARCH("Field observations",'Data extraction-synthesis'!J16)),"X","")</f>
        <v/>
      </c>
      <c r="K9" s="20" t="str">
        <f>IF(ISNUMBER(SEARCH("Laboratory evaluations",'Data extraction-synthesis'!J16)),"X","")</f>
        <v/>
      </c>
      <c r="L9" s="20" t="str">
        <f>IF(ISNUMBER(SEARCH("Models",'Data extraction-synthesis'!J16)),"X","")</f>
        <v/>
      </c>
      <c r="M9" s="20" t="str">
        <f>IF(ISNUMBER(SEARCH("Early usability studies",'Data extraction-synthesis'!J16)),"X","")</f>
        <v/>
      </c>
      <c r="N9" s="20" t="str">
        <f>IF(ISNUMBER(SEARCH("No input sources reported",'Data extraction-synthesis'!J16)),"X","")</f>
        <v/>
      </c>
      <c r="O9" s="20" t="str">
        <f>IF(ISNUMBER(SEARCH("N/A",'Data extraction-synthesis'!J16)),"X","")</f>
        <v/>
      </c>
      <c r="P9" s="9" t="str">
        <f t="shared" si="0"/>
        <v>YES</v>
      </c>
    </row>
    <row r="10" spans="1:16" ht="79.8">
      <c r="A10" s="56" t="s">
        <v>94</v>
      </c>
      <c r="B10" s="19" t="s">
        <v>95</v>
      </c>
      <c r="C10" s="20" t="str">
        <f>IF(ISNUMBER(SEARCH("Literature",'Data extraction-synthesis'!J40)),"X","")</f>
        <v/>
      </c>
      <c r="D10" s="20" t="str">
        <f>IF(ISNUMBER(SEARCH("Industry standard",'Data extraction-synthesis'!J40)),"X","")</f>
        <v/>
      </c>
      <c r="E10" s="20" t="str">
        <f>IF(ISNUMBER(SEARCH("Guidelines",'Data extraction-synthesis'!J40)),"X","")</f>
        <v/>
      </c>
      <c r="F10" s="20" t="str">
        <f>IF(ISNUMBER(SEARCH("Interviews with experts",'Data extraction-synthesis'!J40)),"X","")</f>
        <v/>
      </c>
      <c r="G10" s="20" t="str">
        <f>IF(ISNUMBER(SEARCH("Surveys with experts/expert opinion",'Data extraction-synthesis'!J40)),"X","")</f>
        <v/>
      </c>
      <c r="H10" s="20" t="str">
        <f>IF(ISNUMBER(SEARCH("Consensus meeting inputs",'Data extraction-synthesis'!J40)),"X","")</f>
        <v/>
      </c>
      <c r="I10" s="20" t="str">
        <f>IF(ISNUMBER(SEARCH("Available data",'Data extraction-synthesis'!J40)),"X","")</f>
        <v/>
      </c>
      <c r="J10" s="20" t="str">
        <f>IF(ISNUMBER(SEARCH("Field observations",'Data extraction-synthesis'!J40)),"X","")</f>
        <v/>
      </c>
      <c r="K10" s="20" t="str">
        <f>IF(ISNUMBER(SEARCH("Laboratory evaluations",'Data extraction-synthesis'!J40)),"X","")</f>
        <v/>
      </c>
      <c r="L10" s="20" t="str">
        <f>IF(ISNUMBER(SEARCH("Models",'Data extraction-synthesis'!J40)),"X","")</f>
        <v/>
      </c>
      <c r="M10" s="20" t="str">
        <f>IF(ISNUMBER(SEARCH("Early usability studies",'Data extraction-synthesis'!J40)),"X","")</f>
        <v/>
      </c>
      <c r="N10" s="20" t="str">
        <f>IF(ISNUMBER(SEARCH("No input sources reported",'Data extraction-synthesis'!J40)),"X","")</f>
        <v/>
      </c>
      <c r="O10" s="20" t="str">
        <f>IF(ISNUMBER(SEARCH("N/A",'Data extraction-synthesis'!J40)),"X","")</f>
        <v>X</v>
      </c>
      <c r="P10" s="9" t="str">
        <f t="shared" si="0"/>
        <v>N/A</v>
      </c>
    </row>
    <row r="11" spans="1:16" ht="40.2">
      <c r="A11" s="56" t="s">
        <v>58</v>
      </c>
      <c r="B11" s="19" t="s">
        <v>59</v>
      </c>
      <c r="C11" s="20" t="str">
        <f>IF(ISNUMBER(SEARCH("Literature",'Data extraction-synthesis'!J17)),"X","")</f>
        <v/>
      </c>
      <c r="D11" s="20" t="str">
        <f>IF(ISNUMBER(SEARCH("Industry standard",'Data extraction-synthesis'!J17)),"X","")</f>
        <v/>
      </c>
      <c r="E11" s="20" t="str">
        <f>IF(ISNUMBER(SEARCH("Guidelines",'Data extraction-synthesis'!J17)),"X","")</f>
        <v/>
      </c>
      <c r="F11" s="20" t="str">
        <f>IF(ISNUMBER(SEARCH("Interviews with experts",'Data extraction-synthesis'!J17)),"X","")</f>
        <v/>
      </c>
      <c r="G11" s="20" t="str">
        <f>IF(ISNUMBER(SEARCH("Surveys with experts/expert opinion",'Data extraction-synthesis'!J17)),"X","")</f>
        <v/>
      </c>
      <c r="H11" s="20" t="str">
        <f>IF(ISNUMBER(SEARCH("Consensus meeting inputs",'Data extraction-synthesis'!J17)),"X","")</f>
        <v/>
      </c>
      <c r="I11" s="20" t="str">
        <f>IF(ISNUMBER(SEARCH("Available data",'Data extraction-synthesis'!J17)),"X","")</f>
        <v/>
      </c>
      <c r="J11" s="20" t="str">
        <f>IF(ISNUMBER(SEARCH("Field observations",'Data extraction-synthesis'!J17)),"X","")</f>
        <v/>
      </c>
      <c r="K11" s="20" t="str">
        <f>IF(ISNUMBER(SEARCH("Laboratory evaluations",'Data extraction-synthesis'!J17)),"X","")</f>
        <v/>
      </c>
      <c r="L11" s="20" t="str">
        <f>IF(ISNUMBER(SEARCH("Models",'Data extraction-synthesis'!J17)),"X","")</f>
        <v/>
      </c>
      <c r="M11" s="20" t="str">
        <f>IF(ISNUMBER(SEARCH("Early usability studies",'Data extraction-synthesis'!J17)),"X","")</f>
        <v/>
      </c>
      <c r="N11" s="20" t="str">
        <f>IF(ISNUMBER(SEARCH("No input sources reported",'Data extraction-synthesis'!J17)),"X","")</f>
        <v>X</v>
      </c>
      <c r="O11" s="20" t="str">
        <f>IF(ISNUMBER(SEARCH("N/A",'Data extraction-synthesis'!J17)),"X","")</f>
        <v/>
      </c>
      <c r="P11" s="9" t="str">
        <f t="shared" si="0"/>
        <v>N/A</v>
      </c>
    </row>
    <row r="12" spans="1:16" ht="66.6">
      <c r="A12" s="56" t="s">
        <v>58</v>
      </c>
      <c r="B12" s="19" t="s">
        <v>60</v>
      </c>
      <c r="C12" s="20" t="str">
        <f>IF(ISNUMBER(SEARCH("Literature",'Data extraction-synthesis'!J18)),"X","")</f>
        <v/>
      </c>
      <c r="D12" s="20" t="str">
        <f>IF(ISNUMBER(SEARCH("Industry standard",'Data extraction-synthesis'!J18)),"X","")</f>
        <v/>
      </c>
      <c r="E12" s="20" t="str">
        <f>IF(ISNUMBER(SEARCH("Guidelines",'Data extraction-synthesis'!J18)),"X","")</f>
        <v/>
      </c>
      <c r="F12" s="20" t="str">
        <f>IF(ISNUMBER(SEARCH("Interviews with experts",'Data extraction-synthesis'!J18)),"X","")</f>
        <v/>
      </c>
      <c r="G12" s="20" t="str">
        <f>IF(ISNUMBER(SEARCH("Surveys with experts/expert opinion",'Data extraction-synthesis'!J18)),"X","")</f>
        <v/>
      </c>
      <c r="H12" s="20" t="str">
        <f>IF(ISNUMBER(SEARCH("Consensus meeting inputs",'Data extraction-synthesis'!J18)),"X","")</f>
        <v/>
      </c>
      <c r="I12" s="20" t="str">
        <f>IF(ISNUMBER(SEARCH("Available data",'Data extraction-synthesis'!J18)),"X","")</f>
        <v/>
      </c>
      <c r="J12" s="20" t="str">
        <f>IF(ISNUMBER(SEARCH("Field observations",'Data extraction-synthesis'!J18)),"X","")</f>
        <v/>
      </c>
      <c r="K12" s="20" t="str">
        <f>IF(ISNUMBER(SEARCH("Laboratory evaluations",'Data extraction-synthesis'!J18)),"X","")</f>
        <v/>
      </c>
      <c r="L12" s="20" t="str">
        <f>IF(ISNUMBER(SEARCH("Models",'Data extraction-synthesis'!J18)),"X","")</f>
        <v/>
      </c>
      <c r="M12" s="20" t="str">
        <f>IF(ISNUMBER(SEARCH("Early usability studies",'Data extraction-synthesis'!J18)),"X","")</f>
        <v/>
      </c>
      <c r="N12" s="20" t="str">
        <f>IF(ISNUMBER(SEARCH("No input sources reported",'Data extraction-synthesis'!J18)),"X","")</f>
        <v>X</v>
      </c>
      <c r="O12" s="20" t="str">
        <f>IF(ISNUMBER(SEARCH("N/A",'Data extraction-synthesis'!J18)),"X","")</f>
        <v/>
      </c>
      <c r="P12" s="9" t="str">
        <f t="shared" si="0"/>
        <v>N/A</v>
      </c>
    </row>
    <row r="13" spans="1:16" ht="53.4">
      <c r="A13" s="56" t="s">
        <v>58</v>
      </c>
      <c r="B13" s="19" t="s">
        <v>98</v>
      </c>
      <c r="C13" s="20" t="str">
        <f>IF(ISNUMBER(SEARCH("Literature",'Data extraction-synthesis'!J41)),"X","")</f>
        <v/>
      </c>
      <c r="D13" s="20" t="str">
        <f>IF(ISNUMBER(SEARCH("Industry standard",'Data extraction-synthesis'!J41)),"X","")</f>
        <v/>
      </c>
      <c r="E13" s="20" t="str">
        <f>IF(ISNUMBER(SEARCH("Guidelines",'Data extraction-synthesis'!J41)),"X","")</f>
        <v/>
      </c>
      <c r="F13" s="20" t="str">
        <f>IF(ISNUMBER(SEARCH("Interviews with experts",'Data extraction-synthesis'!J41)),"X","")</f>
        <v/>
      </c>
      <c r="G13" s="20" t="str">
        <f>IF(ISNUMBER(SEARCH("Surveys with experts/expert opinion",'Data extraction-synthesis'!J41)),"X","")</f>
        <v/>
      </c>
      <c r="H13" s="20" t="str">
        <f>IF(ISNUMBER(SEARCH("Consensus meeting inputs",'Data extraction-synthesis'!J41)),"X","")</f>
        <v/>
      </c>
      <c r="I13" s="20" t="str">
        <f>IF(ISNUMBER(SEARCH("Available data",'Data extraction-synthesis'!J41)),"X","")</f>
        <v/>
      </c>
      <c r="J13" s="20" t="str">
        <f>IF(ISNUMBER(SEARCH("Field observations",'Data extraction-synthesis'!J41)),"X","")</f>
        <v/>
      </c>
      <c r="K13" s="20" t="str">
        <f>IF(ISNUMBER(SEARCH("Laboratory evaluations",'Data extraction-synthesis'!J41)),"X","")</f>
        <v/>
      </c>
      <c r="L13" s="20" t="str">
        <f>IF(ISNUMBER(SEARCH("Models",'Data extraction-synthesis'!J41)),"X","")</f>
        <v/>
      </c>
      <c r="M13" s="20" t="str">
        <f>IF(ISNUMBER(SEARCH("Early usability studies",'Data extraction-synthesis'!J41)),"X","")</f>
        <v/>
      </c>
      <c r="N13" s="20" t="str">
        <f>IF(ISNUMBER(SEARCH("No input sources reported",'Data extraction-synthesis'!J41)),"X","")</f>
        <v>X</v>
      </c>
      <c r="O13" s="20" t="str">
        <f>IF(ISNUMBER(SEARCH("N/A",'Data extraction-synthesis'!J41)),"X","")</f>
        <v/>
      </c>
      <c r="P13" s="9" t="str">
        <f t="shared" si="0"/>
        <v>N/A</v>
      </c>
    </row>
    <row r="14" spans="1:16" ht="79.8">
      <c r="A14" s="56" t="s">
        <v>58</v>
      </c>
      <c r="B14" s="19" t="s">
        <v>37</v>
      </c>
      <c r="C14" s="20" t="str">
        <f>IF(ISNUMBER(SEARCH("Literature",'Data extraction-synthesis'!J8)),"X","")</f>
        <v>X</v>
      </c>
      <c r="D14" s="20" t="str">
        <f>IF(ISNUMBER(SEARCH("Industry standard",'Data extraction-synthesis'!J8)),"X","")</f>
        <v/>
      </c>
      <c r="E14" s="20" t="str">
        <f>IF(ISNUMBER(SEARCH("Guidelines",'Data extraction-synthesis'!J8)),"X","")</f>
        <v/>
      </c>
      <c r="F14" s="20" t="str">
        <f>IF(ISNUMBER(SEARCH("Interviews with experts",'Data extraction-synthesis'!J8)),"X","")</f>
        <v/>
      </c>
      <c r="G14" s="20"/>
      <c r="H14" s="20" t="str">
        <f>IF(ISNUMBER(SEARCH("Consensus meeting inputs",'Data extraction-synthesis'!J8)),"X","")</f>
        <v/>
      </c>
      <c r="I14" s="20" t="str">
        <f>IF(ISNUMBER(SEARCH("Available data",'Data extraction-synthesis'!J8)),"X","")</f>
        <v>X</v>
      </c>
      <c r="J14" s="20" t="str">
        <f>IF(ISNUMBER(SEARCH("Field observations",'Data extraction-synthesis'!J8)),"X","")</f>
        <v/>
      </c>
      <c r="K14" s="20" t="str">
        <f>IF(ISNUMBER(SEARCH("Laboratory evaluations",'Data extraction-synthesis'!J8)),"X","")</f>
        <v/>
      </c>
      <c r="L14" s="20"/>
      <c r="M14" s="20" t="str">
        <f>IF(ISNUMBER(SEARCH("Early usability studies",'Data extraction-synthesis'!J8)),"X","")</f>
        <v/>
      </c>
      <c r="N14" s="20" t="str">
        <f>IF(ISNUMBER(SEARCH("No input sources reported",'Data extraction-synthesis'!J8)),"X","")</f>
        <v/>
      </c>
      <c r="O14" s="20" t="str">
        <f>IF(ISNUMBER(SEARCH("N/A",'Data extraction-synthesis'!J8)),"X","")</f>
        <v/>
      </c>
      <c r="P14" s="9" t="str">
        <f t="shared" si="0"/>
        <v>YES</v>
      </c>
    </row>
    <row r="15" spans="1:16" ht="106.2">
      <c r="A15" s="56" t="s">
        <v>38</v>
      </c>
      <c r="B15" s="19" t="s">
        <v>39</v>
      </c>
      <c r="C15" s="20"/>
      <c r="D15" s="20" t="str">
        <f>IF(ISNUMBER(SEARCH("Industry standard",'Data extraction-synthesis'!J9)),"X","")</f>
        <v/>
      </c>
      <c r="E15" s="20" t="str">
        <f>IF(ISNUMBER(SEARCH("Guidelines",'Data extraction-synthesis'!J9)),"X","")</f>
        <v/>
      </c>
      <c r="F15" s="20" t="str">
        <f>IF(ISNUMBER(SEARCH("Interviews with experts",'Data extraction-synthesis'!J9)),"X","")</f>
        <v/>
      </c>
      <c r="G15" s="20" t="str">
        <f>IF(ISNUMBER(SEARCH("Surveys with experts/expert opinion",'Data extraction-synthesis'!J9)),"X","")</f>
        <v/>
      </c>
      <c r="H15" s="20" t="str">
        <f>IF(ISNUMBER(SEARCH("Consensus meeting inputs",'Data extraction-synthesis'!J9)),"X","")</f>
        <v/>
      </c>
      <c r="I15" s="20" t="str">
        <f>IF(ISNUMBER(SEARCH("Available data",'Data extraction-synthesis'!J9)),"X","")</f>
        <v/>
      </c>
      <c r="J15" s="20" t="str">
        <f>IF(ISNUMBER(SEARCH("Field observations",'Data extraction-synthesis'!J9)),"X","")</f>
        <v/>
      </c>
      <c r="K15" s="20" t="str">
        <f>IF(ISNUMBER(SEARCH("Laboratory evaluations",'Data extraction-synthesis'!J9)),"X","")</f>
        <v/>
      </c>
      <c r="L15" s="20" t="str">
        <f>IF(ISNUMBER(SEARCH("Models",'Data extraction-synthesis'!J9)),"X","")</f>
        <v/>
      </c>
      <c r="M15" s="20" t="str">
        <f>IF(ISNUMBER(SEARCH("Early usability studies",'Data extraction-synthesis'!J9)),"X","")</f>
        <v/>
      </c>
      <c r="N15" s="20" t="str">
        <f>IF(ISNUMBER(SEARCH("No input sources reported",'Data extraction-synthesis'!J9)),"X","")</f>
        <v/>
      </c>
      <c r="O15" s="20" t="str">
        <f>IF(ISNUMBER(SEARCH("N/A",'Data extraction-synthesis'!J9)),"X","")</f>
        <v/>
      </c>
      <c r="P15" s="9" t="str">
        <f t="shared" si="0"/>
        <v>NO</v>
      </c>
    </row>
    <row r="16" spans="1:16" ht="40.2">
      <c r="A16" s="56" t="s">
        <v>92</v>
      </c>
      <c r="B16" s="19" t="s">
        <v>93</v>
      </c>
      <c r="C16" s="20" t="str">
        <f>IF(ISNUMBER(SEARCH("Literature",'Data extraction-synthesis'!J39)),"X","")</f>
        <v/>
      </c>
      <c r="D16" s="20" t="str">
        <f>IF(ISNUMBER(SEARCH("Industry standard",'Data extraction-synthesis'!J39)),"X","")</f>
        <v/>
      </c>
      <c r="E16" s="20" t="str">
        <f>IF(ISNUMBER(SEARCH("Guidelines",'Data extraction-synthesis'!J39)),"X","")</f>
        <v/>
      </c>
      <c r="F16" s="20" t="str">
        <f>IF(ISNUMBER(SEARCH("Interviews with experts",'Data extraction-synthesis'!J39)),"X","")</f>
        <v/>
      </c>
      <c r="G16" s="20" t="str">
        <f>IF(ISNUMBER(SEARCH("Surveys with experts/expert opinion",'Data extraction-synthesis'!J39)),"X","")</f>
        <v/>
      </c>
      <c r="H16" s="20" t="str">
        <f>IF(ISNUMBER(SEARCH("Consensus meeting inputs",'Data extraction-synthesis'!J39)),"X","")</f>
        <v/>
      </c>
      <c r="I16" s="20" t="str">
        <f>IF(ISNUMBER(SEARCH("Available data",'Data extraction-synthesis'!J39)),"X","")</f>
        <v/>
      </c>
      <c r="J16" s="20" t="str">
        <f>IF(ISNUMBER(SEARCH("Field observations",'Data extraction-synthesis'!J39)),"X","")</f>
        <v/>
      </c>
      <c r="K16" s="20" t="str">
        <f>IF(ISNUMBER(SEARCH("Laboratory evaluations",'Data extraction-synthesis'!J39)),"X","")</f>
        <v/>
      </c>
      <c r="L16" s="20" t="str">
        <f>IF(ISNUMBER(SEARCH("Models",'Data extraction-synthesis'!J39)),"X","")</f>
        <v/>
      </c>
      <c r="M16" s="20" t="str">
        <f>IF(ISNUMBER(SEARCH("Early usability studies",'Data extraction-synthesis'!J39)),"X","")</f>
        <v/>
      </c>
      <c r="N16" s="20" t="str">
        <f>IF(ISNUMBER(SEARCH("No input sources reported",'Data extraction-synthesis'!J39)),"X","")</f>
        <v>X</v>
      </c>
      <c r="O16" s="20" t="str">
        <f>IF(ISNUMBER(SEARCH("N/A",'Data extraction-synthesis'!J39)),"X","")</f>
        <v/>
      </c>
      <c r="P16" s="9" t="str">
        <f t="shared" si="0"/>
        <v>N/A</v>
      </c>
    </row>
    <row r="17" spans="1:16" ht="40.2">
      <c r="A17" s="56" t="s">
        <v>86</v>
      </c>
      <c r="B17" s="19" t="s">
        <v>87</v>
      </c>
      <c r="C17" s="20" t="str">
        <f>IF(ISNUMBER(SEARCH("Literature",'Data extraction-synthesis'!J36)),"X","")</f>
        <v/>
      </c>
      <c r="D17" s="20" t="str">
        <f>IF(ISNUMBER(SEARCH("Industry standard",'Data extraction-synthesis'!J36)),"X","")</f>
        <v/>
      </c>
      <c r="E17" s="20" t="str">
        <f>IF(ISNUMBER(SEARCH("Guidelines",'Data extraction-synthesis'!J36)),"X","")</f>
        <v/>
      </c>
      <c r="F17" s="20" t="str">
        <f>IF(ISNUMBER(SEARCH("Interviews with experts",'Data extraction-synthesis'!J36)),"X","")</f>
        <v/>
      </c>
      <c r="G17" s="20" t="str">
        <f>IF(ISNUMBER(SEARCH("Surveys with experts/expert opinion",'Data extraction-synthesis'!J36)),"X","")</f>
        <v/>
      </c>
      <c r="H17" s="20" t="str">
        <f>IF(ISNUMBER(SEARCH("Consensus meeting inputs",'Data extraction-synthesis'!J36)),"X","")</f>
        <v/>
      </c>
      <c r="I17" s="20" t="str">
        <f>IF(ISNUMBER(SEARCH("Available data",'Data extraction-synthesis'!J36)),"X","")</f>
        <v/>
      </c>
      <c r="J17" s="20" t="str">
        <f>IF(ISNUMBER(SEARCH("Field observations",'Data extraction-synthesis'!J36)),"X","")</f>
        <v/>
      </c>
      <c r="K17" s="20" t="str">
        <f>IF(ISNUMBER(SEARCH("Laboratory evaluations",'Data extraction-synthesis'!J36)),"X","")</f>
        <v/>
      </c>
      <c r="L17" s="20" t="str">
        <f>IF(ISNUMBER(SEARCH("Models",'Data extraction-synthesis'!J36)),"X","")</f>
        <v/>
      </c>
      <c r="M17" s="20" t="str">
        <f>IF(ISNUMBER(SEARCH("Early usability studies",'Data extraction-synthesis'!J36)),"X","")</f>
        <v/>
      </c>
      <c r="N17" s="20" t="str">
        <f>IF(ISNUMBER(SEARCH("No input sources reported",'Data extraction-synthesis'!J36)),"X","")</f>
        <v>X</v>
      </c>
      <c r="O17" s="20" t="str">
        <f>IF(ISNUMBER(SEARCH("N/A",'Data extraction-synthesis'!J36)),"X","")</f>
        <v/>
      </c>
      <c r="P17" s="9" t="str">
        <f t="shared" si="0"/>
        <v>N/A</v>
      </c>
    </row>
    <row r="18" spans="1:16" ht="40.2">
      <c r="A18" s="56" t="s">
        <v>86</v>
      </c>
      <c r="B18" s="19" t="s">
        <v>90</v>
      </c>
      <c r="C18" s="20" t="str">
        <f>IF(ISNUMBER(SEARCH("Literature",'Data extraction-synthesis'!J37)),"X","")</f>
        <v/>
      </c>
      <c r="D18" s="20" t="str">
        <f>IF(ISNUMBER(SEARCH("Industry standard",'Data extraction-synthesis'!J37)),"X","")</f>
        <v/>
      </c>
      <c r="E18" s="20" t="str">
        <f>IF(ISNUMBER(SEARCH("Guidelines",'Data extraction-synthesis'!J37)),"X","")</f>
        <v/>
      </c>
      <c r="F18" s="20" t="str">
        <f>IF(ISNUMBER(SEARCH("Interviews with experts",'Data extraction-synthesis'!J37)),"X","")</f>
        <v/>
      </c>
      <c r="G18" s="20" t="str">
        <f>IF(ISNUMBER(SEARCH("Surveys with experts/expert opinion",'Data extraction-synthesis'!J37)),"X","")</f>
        <v/>
      </c>
      <c r="H18" s="20" t="str">
        <f>IF(ISNUMBER(SEARCH("Consensus meeting inputs",'Data extraction-synthesis'!J37)),"X","")</f>
        <v/>
      </c>
      <c r="I18" s="20" t="str">
        <f>IF(ISNUMBER(SEARCH("Available data",'Data extraction-synthesis'!J37)),"X","")</f>
        <v/>
      </c>
      <c r="J18" s="20" t="str">
        <f>IF(ISNUMBER(SEARCH("Field observations",'Data extraction-synthesis'!J37)),"X","")</f>
        <v/>
      </c>
      <c r="K18" s="20" t="str">
        <f>IF(ISNUMBER(SEARCH("Laboratory evaluations",'Data extraction-synthesis'!J37)),"X","")</f>
        <v/>
      </c>
      <c r="L18" s="20" t="str">
        <f>IF(ISNUMBER(SEARCH("Models",'Data extraction-synthesis'!J37)),"X","")</f>
        <v/>
      </c>
      <c r="M18" s="20" t="str">
        <f>IF(ISNUMBER(SEARCH("Early usability studies",'Data extraction-synthesis'!J37)),"X","")</f>
        <v/>
      </c>
      <c r="N18" s="20" t="str">
        <f>IF(ISNUMBER(SEARCH("No input sources reported",'Data extraction-synthesis'!J37)),"X","")</f>
        <v>X</v>
      </c>
      <c r="O18" s="20" t="str">
        <f>IF(ISNUMBER(SEARCH("N/A",'Data extraction-synthesis'!J37)),"X","")</f>
        <v/>
      </c>
      <c r="P18" s="9" t="str">
        <f t="shared" si="0"/>
        <v>N/A</v>
      </c>
    </row>
    <row r="19" spans="1:16" ht="40.2">
      <c r="A19" s="56" t="s">
        <v>86</v>
      </c>
      <c r="B19" s="19" t="s">
        <v>91</v>
      </c>
      <c r="C19" s="20" t="str">
        <f>IF(ISNUMBER(SEARCH("Literature",'Data extraction-synthesis'!J38)),"X","")</f>
        <v/>
      </c>
      <c r="D19" s="20" t="str">
        <f>IF(ISNUMBER(SEARCH("Industry standard",'Data extraction-synthesis'!J38)),"X","")</f>
        <v/>
      </c>
      <c r="E19" s="20" t="str">
        <f>IF(ISNUMBER(SEARCH("Guidelines",'Data extraction-synthesis'!J38)),"X","")</f>
        <v/>
      </c>
      <c r="F19" s="20" t="str">
        <f>IF(ISNUMBER(SEARCH("Interviews with experts",'Data extraction-synthesis'!J38)),"X","")</f>
        <v/>
      </c>
      <c r="G19" s="20" t="str">
        <f>IF(ISNUMBER(SEARCH("Surveys with experts/expert opinion",'Data extraction-synthesis'!J38)),"X","")</f>
        <v/>
      </c>
      <c r="H19" s="20" t="str">
        <f>IF(ISNUMBER(SEARCH("Consensus meeting inputs",'Data extraction-synthesis'!J38)),"X","")</f>
        <v/>
      </c>
      <c r="I19" s="20" t="str">
        <f>IF(ISNUMBER(SEARCH("Available data",'Data extraction-synthesis'!J38)),"X","")</f>
        <v/>
      </c>
      <c r="J19" s="20" t="str">
        <f>IF(ISNUMBER(SEARCH("Field observations",'Data extraction-synthesis'!J38)),"X","")</f>
        <v/>
      </c>
      <c r="K19" s="20" t="str">
        <f>IF(ISNUMBER(SEARCH("Laboratory evaluations",'Data extraction-synthesis'!J38)),"X","")</f>
        <v/>
      </c>
      <c r="L19" s="20" t="str">
        <f>IF(ISNUMBER(SEARCH("Models",'Data extraction-synthesis'!J38)),"X","")</f>
        <v/>
      </c>
      <c r="M19" s="20" t="str">
        <f>IF(ISNUMBER(SEARCH("Early usability studies",'Data extraction-synthesis'!J38)),"X","")</f>
        <v/>
      </c>
      <c r="N19" s="20" t="str">
        <f>IF(ISNUMBER(SEARCH("No input sources reported",'Data extraction-synthesis'!J38)),"X","")</f>
        <v>X</v>
      </c>
      <c r="O19" s="20" t="str">
        <f>IF(ISNUMBER(SEARCH("N/A",'Data extraction-synthesis'!J38)),"X","")</f>
        <v/>
      </c>
      <c r="P19" s="9" t="str">
        <f t="shared" si="0"/>
        <v>N/A</v>
      </c>
    </row>
    <row r="20" spans="1:16" ht="79.8">
      <c r="A20" s="56" t="s">
        <v>41</v>
      </c>
      <c r="B20" s="19" t="s">
        <v>42</v>
      </c>
      <c r="C20" s="20"/>
      <c r="D20" s="20" t="str">
        <f>IF(ISNUMBER(SEARCH("Industry standard",'Data extraction-synthesis'!J10)),"X","")</f>
        <v/>
      </c>
      <c r="E20" s="20" t="str">
        <f>IF(ISNUMBER(SEARCH("Guidelines",'Data extraction-synthesis'!J10)),"X","")</f>
        <v/>
      </c>
      <c r="F20" s="20" t="str">
        <f>IF(ISNUMBER(SEARCH("Interviews with experts",'Data extraction-synthesis'!J10)),"X","")</f>
        <v/>
      </c>
      <c r="G20" s="20" t="str">
        <f>IF(ISNUMBER(SEARCH("Surveys with experts/expert opinion",'Data extraction-synthesis'!J10)),"X","")</f>
        <v/>
      </c>
      <c r="H20" s="20" t="str">
        <f>IF(ISNUMBER(SEARCH("Consensus meeting inputs",'Data extraction-synthesis'!J10)),"X","")</f>
        <v/>
      </c>
      <c r="I20" s="20" t="str">
        <f>IF(ISNUMBER(SEARCH("Available data",'Data extraction-synthesis'!J10)),"X","")</f>
        <v/>
      </c>
      <c r="J20" s="20" t="str">
        <f>IF(ISNUMBER(SEARCH("Field observations",'Data extraction-synthesis'!J10)),"X","")</f>
        <v/>
      </c>
      <c r="K20" s="20" t="str">
        <f>IF(ISNUMBER(SEARCH("Laboratory evaluations",'Data extraction-synthesis'!J10)),"X","")</f>
        <v/>
      </c>
      <c r="L20" s="20" t="str">
        <f>IF(ISNUMBER(SEARCH("Models",'Data extraction-synthesis'!J10)),"X","")</f>
        <v/>
      </c>
      <c r="M20" s="20" t="str">
        <f>IF(ISNUMBER(SEARCH("Early usability studies",'Data extraction-synthesis'!J10)),"X","")</f>
        <v/>
      </c>
      <c r="N20" s="82" t="s">
        <v>198</v>
      </c>
      <c r="O20" s="20" t="str">
        <f>IF(ISNUMBER(SEARCH("N/A",'Data extraction-synthesis'!J10)),"X","")</f>
        <v/>
      </c>
      <c r="P20" s="9" t="str">
        <f t="shared" si="0"/>
        <v>N/A</v>
      </c>
    </row>
    <row r="21" spans="1:16" ht="53.4">
      <c r="A21" s="56" t="s">
        <v>43</v>
      </c>
      <c r="B21" s="19" t="s">
        <v>44</v>
      </c>
      <c r="C21" s="20" t="str">
        <f>IF(ISNUMBER(SEARCH("Literature",'Data extraction-synthesis'!J11)),"X","")</f>
        <v>X</v>
      </c>
      <c r="D21" s="20" t="str">
        <f>IF(ISNUMBER(SEARCH("Industry standard",'Data extraction-synthesis'!J11)),"X","")</f>
        <v/>
      </c>
      <c r="E21" s="20" t="str">
        <f>IF(ISNUMBER(SEARCH("Guidelines",'Data extraction-synthesis'!J11)),"X","")</f>
        <v/>
      </c>
      <c r="F21" s="20" t="str">
        <f>IF(ISNUMBER(SEARCH("Interviews with experts",'Data extraction-synthesis'!J11)),"X","")</f>
        <v/>
      </c>
      <c r="G21" s="20" t="str">
        <f>IF(ISNUMBER(SEARCH("Surveys with experts/expert opinion",'Data extraction-synthesis'!J11)),"X","")</f>
        <v/>
      </c>
      <c r="H21" s="20" t="str">
        <f>IF(ISNUMBER(SEARCH("Consensus meeting inputs",'Data extraction-synthesis'!J11)),"X","")</f>
        <v/>
      </c>
      <c r="I21" s="20" t="str">
        <f>IF(ISNUMBER(SEARCH("Available data",'Data extraction-synthesis'!J11)),"X","")</f>
        <v/>
      </c>
      <c r="J21" s="20" t="str">
        <f>IF(ISNUMBER(SEARCH("Field observations",'Data extraction-synthesis'!J11)),"X","")</f>
        <v/>
      </c>
      <c r="K21" s="20" t="str">
        <f>IF(ISNUMBER(SEARCH("Laboratory evaluations",'Data extraction-synthesis'!J11)),"X","")</f>
        <v/>
      </c>
      <c r="L21" s="20" t="str">
        <f>IF(ISNUMBER(SEARCH("Models",'Data extraction-synthesis'!J11)),"X","")</f>
        <v/>
      </c>
      <c r="M21" s="20" t="str">
        <f>IF(ISNUMBER(SEARCH("Early usability studies",'Data extraction-synthesis'!J11)),"X","")</f>
        <v/>
      </c>
      <c r="N21" s="20" t="str">
        <f>IF(ISNUMBER(SEARCH("No input sources reported",'Data extraction-synthesis'!J11)),"X","")</f>
        <v/>
      </c>
      <c r="O21" s="20" t="str">
        <f>IF(ISNUMBER(SEARCH("N/A",'Data extraction-synthesis'!J11)),"X","")</f>
        <v/>
      </c>
      <c r="P21" s="9" t="str">
        <f t="shared" si="0"/>
        <v>NO</v>
      </c>
    </row>
    <row r="22" spans="1:16" ht="53.4">
      <c r="A22" s="56" t="s">
        <v>80</v>
      </c>
      <c r="B22" s="19" t="s">
        <v>81</v>
      </c>
      <c r="C22" s="20" t="str">
        <f>IF(ISNUMBER(SEARCH("Literature",'Data extraction-synthesis'!J33)),"X","")</f>
        <v/>
      </c>
      <c r="D22" s="20" t="str">
        <f>IF(ISNUMBER(SEARCH("Industry standard",'Data extraction-synthesis'!J33)),"X","")</f>
        <v/>
      </c>
      <c r="E22" s="20" t="str">
        <f>IF(ISNUMBER(SEARCH("Guidelines",'Data extraction-synthesis'!J33)),"X","")</f>
        <v/>
      </c>
      <c r="F22" s="20" t="str">
        <f>IF(ISNUMBER(SEARCH("Interviews with experts",'Data extraction-synthesis'!J33)),"X","")</f>
        <v/>
      </c>
      <c r="G22" s="20"/>
      <c r="H22" s="20" t="str">
        <f>IF(ISNUMBER(SEARCH("Consensus meeting inputs",'Data extraction-synthesis'!J33)),"X","")</f>
        <v/>
      </c>
      <c r="I22" s="20" t="str">
        <f>IF(ISNUMBER(SEARCH("Available data",'Data extraction-synthesis'!J33)),"X","")</f>
        <v/>
      </c>
      <c r="J22" s="20" t="str">
        <f>IF(ISNUMBER(SEARCH("Field observations",'Data extraction-synthesis'!J33)),"X","")</f>
        <v/>
      </c>
      <c r="K22" s="20" t="str">
        <f>IF(ISNUMBER(SEARCH("Laboratory evaluations",'Data extraction-synthesis'!J33)),"X","")</f>
        <v/>
      </c>
      <c r="L22" s="20"/>
      <c r="M22" s="20" t="str">
        <f>IF(ISNUMBER(SEARCH("Early usability studies",'Data extraction-synthesis'!J33)),"X","")</f>
        <v/>
      </c>
      <c r="N22" s="20" t="str">
        <f>IF(ISNUMBER(SEARCH("No input sources reported",'Data extraction-synthesis'!J33)),"X","")</f>
        <v/>
      </c>
      <c r="O22" s="20" t="str">
        <f>IF(ISNUMBER(SEARCH("N/A",'Data extraction-synthesis'!J33)),"X","")</f>
        <v/>
      </c>
      <c r="P22" s="9" t="str">
        <f t="shared" si="0"/>
        <v>NO</v>
      </c>
    </row>
    <row r="23" spans="1:16" ht="119.4">
      <c r="A23" s="56" t="s">
        <v>61</v>
      </c>
      <c r="B23" s="19" t="s">
        <v>62</v>
      </c>
      <c r="C23" s="20" t="str">
        <f>IF(ISNUMBER(SEARCH("Literature",'Data extraction-synthesis'!J19)),"X","")</f>
        <v>X</v>
      </c>
      <c r="D23" s="20" t="str">
        <f>IF(ISNUMBER(SEARCH("Industry standard",'Data extraction-synthesis'!J19)),"X","")</f>
        <v/>
      </c>
      <c r="E23" s="20" t="str">
        <f>IF(ISNUMBER(SEARCH("Guidelines",'Data extraction-synthesis'!J19)),"X","")</f>
        <v/>
      </c>
      <c r="F23" s="20" t="str">
        <f>IF(ISNUMBER(SEARCH("Interviews with experts",'Data extraction-synthesis'!J19)),"X","")</f>
        <v/>
      </c>
      <c r="G23" s="20" t="str">
        <f>IF(ISNUMBER(SEARCH("Surveys with experts/expert opinion",'Data extraction-synthesis'!J19)),"X","")</f>
        <v/>
      </c>
      <c r="H23" s="20" t="str">
        <f>IF(ISNUMBER(SEARCH("Consensus meeting inputs",'Data extraction-synthesis'!J19)),"X","")</f>
        <v/>
      </c>
      <c r="I23" s="20" t="str">
        <f>IF(ISNUMBER(SEARCH("Available data",'Data extraction-synthesis'!J19)),"X","")</f>
        <v/>
      </c>
      <c r="J23" s="20" t="str">
        <f>IF(ISNUMBER(SEARCH("Field observations",'Data extraction-synthesis'!J19)),"X","")</f>
        <v/>
      </c>
      <c r="K23" s="20" t="str">
        <f>IF(ISNUMBER(SEARCH("Laboratory evaluations",'Data extraction-synthesis'!J19)),"X","")</f>
        <v>X</v>
      </c>
      <c r="L23" s="20" t="str">
        <f>IF(ISNUMBER(SEARCH("Models",'Data extraction-synthesis'!J19)),"X","")</f>
        <v/>
      </c>
      <c r="M23" s="20" t="str">
        <f>IF(ISNUMBER(SEARCH("Early usability studies",'Data extraction-synthesis'!J19)),"X","")</f>
        <v>X</v>
      </c>
      <c r="N23" s="20" t="str">
        <f>IF(ISNUMBER(SEARCH("No input sources reported",'Data extraction-synthesis'!J19)),"X","")</f>
        <v/>
      </c>
      <c r="O23" s="20" t="str">
        <f>IF(ISNUMBER(SEARCH("N/A",'Data extraction-synthesis'!J19)),"X","")</f>
        <v/>
      </c>
      <c r="P23" s="9" t="str">
        <f t="shared" si="0"/>
        <v>YES</v>
      </c>
    </row>
    <row r="24" spans="1:16" ht="66.6">
      <c r="A24" s="56" t="s">
        <v>61</v>
      </c>
      <c r="B24" s="19" t="s">
        <v>63</v>
      </c>
      <c r="C24" s="20" t="str">
        <f>IF(ISNUMBER(SEARCH("Literature",'Data extraction-synthesis'!J20)),"X","")</f>
        <v/>
      </c>
      <c r="D24" s="20" t="str">
        <f>IF(ISNUMBER(SEARCH("Industry standard",'Data extraction-synthesis'!J20)),"X","")</f>
        <v/>
      </c>
      <c r="E24" s="20" t="str">
        <f>IF(ISNUMBER(SEARCH("Guidelines",'Data extraction-synthesis'!J20)),"X","")</f>
        <v/>
      </c>
      <c r="F24" s="20" t="str">
        <f>IF(ISNUMBER(SEARCH("Interviews with experts",'Data extraction-synthesis'!J20)),"X","")</f>
        <v/>
      </c>
      <c r="G24" s="20" t="str">
        <f>IF(ISNUMBER(SEARCH("Surveys with experts/expert opinion",'Data extraction-synthesis'!J20)),"X","")</f>
        <v/>
      </c>
      <c r="H24" s="20" t="str">
        <f>IF(ISNUMBER(SEARCH("Consensus meeting inputs",'Data extraction-synthesis'!J20)),"X","")</f>
        <v/>
      </c>
      <c r="I24" s="20" t="str">
        <f>IF(ISNUMBER(SEARCH("Available data",'Data extraction-synthesis'!J20)),"X","")</f>
        <v/>
      </c>
      <c r="J24" s="20" t="str">
        <f>IF(ISNUMBER(SEARCH("Field observations",'Data extraction-synthesis'!J20)),"X","")</f>
        <v/>
      </c>
      <c r="K24" s="20" t="str">
        <f>IF(ISNUMBER(SEARCH("Laboratory evaluations",'Data extraction-synthesis'!J20)),"X","")</f>
        <v/>
      </c>
      <c r="L24" s="20" t="str">
        <f>IF(ISNUMBER(SEARCH("Models",'Data extraction-synthesis'!J20)),"X","")</f>
        <v/>
      </c>
      <c r="M24" s="20" t="str">
        <f>IF(ISNUMBER(SEARCH("Early usability studies",'Data extraction-synthesis'!J20)),"X","")</f>
        <v/>
      </c>
      <c r="N24" s="20" t="str">
        <f>IF(ISNUMBER(SEARCH("No input sources reported",'Data extraction-synthesis'!J20)),"X","")</f>
        <v/>
      </c>
      <c r="O24" s="20" t="str">
        <f>IF(ISNUMBER(SEARCH("N/A",'Data extraction-synthesis'!J20)),"X","")</f>
        <v>X</v>
      </c>
      <c r="P24" s="9" t="str">
        <f t="shared" si="0"/>
        <v>N/A</v>
      </c>
    </row>
    <row r="25" spans="1:16" ht="40.2">
      <c r="A25" s="56" t="s">
        <v>61</v>
      </c>
      <c r="B25" s="19" t="s">
        <v>64</v>
      </c>
      <c r="C25" s="20" t="str">
        <f>IF(ISNUMBER(SEARCH("Literature",'Data extraction-synthesis'!J21)),"X","")</f>
        <v>X</v>
      </c>
      <c r="D25" s="20" t="str">
        <f>IF(ISNUMBER(SEARCH("Industry standard",'Data extraction-synthesis'!J21)),"X","")</f>
        <v/>
      </c>
      <c r="E25" s="20" t="str">
        <f>IF(ISNUMBER(SEARCH("Guidelines",'Data extraction-synthesis'!J21)),"X","")</f>
        <v/>
      </c>
      <c r="F25" s="20" t="str">
        <f>IF(ISNUMBER(SEARCH("Interviews with experts",'Data extraction-synthesis'!J21)),"X","")</f>
        <v/>
      </c>
      <c r="G25" s="20" t="str">
        <f>IF(ISNUMBER(SEARCH("Surveys with experts/expert opinion",'Data extraction-synthesis'!J21)),"X","")</f>
        <v/>
      </c>
      <c r="H25" s="20" t="str">
        <f>IF(ISNUMBER(SEARCH("Consensus meeting inputs",'Data extraction-synthesis'!J21)),"X","")</f>
        <v/>
      </c>
      <c r="I25" s="20" t="str">
        <f>IF(ISNUMBER(SEARCH("Available data",'Data extraction-synthesis'!J21)),"X","")</f>
        <v/>
      </c>
      <c r="J25" s="20" t="str">
        <f>IF(ISNUMBER(SEARCH("Field observations",'Data extraction-synthesis'!J21)),"X","")</f>
        <v/>
      </c>
      <c r="K25" s="20" t="str">
        <f>IF(ISNUMBER(SEARCH("Laboratory evaluations",'Data extraction-synthesis'!J21)),"X","")</f>
        <v/>
      </c>
      <c r="L25" s="20" t="str">
        <f>IF(ISNUMBER(SEARCH("Models",'Data extraction-synthesis'!J21)),"X","")</f>
        <v/>
      </c>
      <c r="M25" s="20" t="str">
        <f>IF(ISNUMBER(SEARCH("Early usability studies",'Data extraction-synthesis'!J21)),"X","")</f>
        <v/>
      </c>
      <c r="N25" s="20" t="str">
        <f>IF(ISNUMBER(SEARCH("No input sources reported",'Data extraction-synthesis'!J21)),"X","")</f>
        <v/>
      </c>
      <c r="O25" s="20" t="str">
        <f>IF(ISNUMBER(SEARCH("N/A",'Data extraction-synthesis'!J21)),"X","")</f>
        <v/>
      </c>
      <c r="P25" s="9" t="str">
        <f t="shared" si="0"/>
        <v>NO</v>
      </c>
    </row>
    <row r="26" spans="1:16" ht="66.6">
      <c r="A26" s="56" t="s">
        <v>61</v>
      </c>
      <c r="B26" s="22" t="s">
        <v>84</v>
      </c>
      <c r="C26" s="20" t="str">
        <f>IF(ISNUMBER(SEARCH("Literature",'Data extraction-synthesis'!J34)),"X","")</f>
        <v>X</v>
      </c>
      <c r="D26" s="20" t="str">
        <f>IF(ISNUMBER(SEARCH("Industry standard",'Data extraction-synthesis'!J34)),"X","")</f>
        <v/>
      </c>
      <c r="E26" s="20" t="str">
        <f>IF(ISNUMBER(SEARCH("Guidelines",'Data extraction-synthesis'!J34)),"X","")</f>
        <v/>
      </c>
      <c r="F26" s="20" t="str">
        <f>IF(ISNUMBER(SEARCH("Interviews with experts",'Data extraction-synthesis'!J34)),"X","")</f>
        <v/>
      </c>
      <c r="G26" s="20" t="str">
        <f>IF(ISNUMBER(SEARCH("Surveys with experts/expert opinion",'Data extraction-synthesis'!J34)),"X","")</f>
        <v/>
      </c>
      <c r="H26" s="20" t="str">
        <f>IF(ISNUMBER(SEARCH("Consensus meeting inputs",'Data extraction-synthesis'!J34)),"X","")</f>
        <v/>
      </c>
      <c r="I26" s="20" t="str">
        <f>IF(ISNUMBER(SEARCH("Available data",'Data extraction-synthesis'!J34)),"X","")</f>
        <v/>
      </c>
      <c r="J26" s="20" t="str">
        <f>IF(ISNUMBER(SEARCH("Field observations",'Data extraction-synthesis'!J34)),"X","")</f>
        <v/>
      </c>
      <c r="K26" s="20" t="str">
        <f>IF(ISNUMBER(SEARCH("Laboratory evaluations",'Data extraction-synthesis'!J34)),"X","")</f>
        <v/>
      </c>
      <c r="L26" s="20" t="str">
        <f>IF(ISNUMBER(SEARCH("Models",'Data extraction-synthesis'!J34)),"X","")</f>
        <v/>
      </c>
      <c r="M26" s="20" t="str">
        <f>IF(ISNUMBER(SEARCH("Early usability studies",'Data extraction-synthesis'!J34)),"X","")</f>
        <v/>
      </c>
      <c r="N26" s="20" t="str">
        <f>IF(ISNUMBER(SEARCH("No input sources reported",'Data extraction-synthesis'!J34)),"X","")</f>
        <v/>
      </c>
      <c r="O26" s="20" t="str">
        <f>IF(ISNUMBER(SEARCH("N/A",'Data extraction-synthesis'!J34)),"X","")</f>
        <v/>
      </c>
      <c r="P26" s="9" t="str">
        <f t="shared" si="0"/>
        <v>NO</v>
      </c>
    </row>
    <row r="27" spans="1:16" ht="79.8">
      <c r="A27" s="56" t="s">
        <v>61</v>
      </c>
      <c r="B27" s="19" t="s">
        <v>85</v>
      </c>
      <c r="C27" s="20"/>
      <c r="D27" s="20" t="str">
        <f>IF(ISNUMBER(SEARCH("Industry standard",'Data extraction-synthesis'!J35)),"X","")</f>
        <v/>
      </c>
      <c r="E27" s="20" t="str">
        <f>IF(ISNUMBER(SEARCH("Guidelines",'Data extraction-synthesis'!J35)),"X","")</f>
        <v/>
      </c>
      <c r="F27" s="20" t="str">
        <f>IF(ISNUMBER(SEARCH("Interviews with experts",'Data extraction-synthesis'!J35)),"X","")</f>
        <v/>
      </c>
      <c r="G27" s="20" t="str">
        <f>IF(ISNUMBER(SEARCH("Surveys with experts/expert opinion",'Data extraction-synthesis'!J35)),"X","")</f>
        <v/>
      </c>
      <c r="H27" s="20" t="str">
        <f>IF(ISNUMBER(SEARCH("Consensus meeting inputs",'Data extraction-synthesis'!J35)),"X","")</f>
        <v/>
      </c>
      <c r="I27" s="20" t="str">
        <f>IF(ISNUMBER(SEARCH("Available data",'Data extraction-synthesis'!J35)),"X","")</f>
        <v/>
      </c>
      <c r="J27" s="20" t="str">
        <f>IF(ISNUMBER(SEARCH("Field observations",'Data extraction-synthesis'!J35)),"X","")</f>
        <v/>
      </c>
      <c r="K27" s="20" t="str">
        <f>IF(ISNUMBER(SEARCH("Laboratory evaluations",'Data extraction-synthesis'!J35)),"X","")</f>
        <v/>
      </c>
      <c r="L27" s="20" t="str">
        <f>IF(ISNUMBER(SEARCH("Models",'Data extraction-synthesis'!J35)),"X","")</f>
        <v/>
      </c>
      <c r="M27" s="20" t="str">
        <f>IF(ISNUMBER(SEARCH("Early usability studies",'Data extraction-synthesis'!J35)),"X","")</f>
        <v/>
      </c>
      <c r="N27" s="82" t="s">
        <v>198</v>
      </c>
      <c r="O27" s="20" t="str">
        <f>IF(ISNUMBER(SEARCH("N/A",'Data extraction-synthesis'!J35)),"X","")</f>
        <v/>
      </c>
      <c r="P27" s="9" t="str">
        <f t="shared" si="0"/>
        <v>N/A</v>
      </c>
    </row>
    <row r="28" spans="1:16" ht="53.4">
      <c r="A28" s="56" t="s">
        <v>61</v>
      </c>
      <c r="B28" s="19" t="s">
        <v>99</v>
      </c>
      <c r="C28" s="20" t="str">
        <f>IF(ISNUMBER(SEARCH("Literature",'Data extraction-synthesis'!J42)),"X","")</f>
        <v>X</v>
      </c>
      <c r="D28" s="20" t="str">
        <f>IF(ISNUMBER(SEARCH("Industry standard",'Data extraction-synthesis'!J42)),"X","")</f>
        <v/>
      </c>
      <c r="E28" s="20" t="str">
        <f>IF(ISNUMBER(SEARCH("Guidelines",'Data extraction-synthesis'!J42)),"X","")</f>
        <v/>
      </c>
      <c r="F28" s="20" t="str">
        <f>IF(ISNUMBER(SEARCH("Interviews with experts",'Data extraction-synthesis'!J42)),"X","")</f>
        <v/>
      </c>
      <c r="G28" s="20" t="str">
        <f>IF(ISNUMBER(SEARCH("Surveys with experts/expert opinion",'Data extraction-synthesis'!J42)),"X","")</f>
        <v/>
      </c>
      <c r="H28" s="20" t="str">
        <f>IF(ISNUMBER(SEARCH("Consensus meeting inputs",'Data extraction-synthesis'!J42)),"X","")</f>
        <v/>
      </c>
      <c r="I28" s="20" t="str">
        <f>IF(ISNUMBER(SEARCH("Available data",'Data extraction-synthesis'!J42)),"X","")</f>
        <v/>
      </c>
      <c r="J28" s="20" t="str">
        <f>IF(ISNUMBER(SEARCH("Field observations",'Data extraction-synthesis'!J42)),"X","")</f>
        <v/>
      </c>
      <c r="K28" s="20" t="str">
        <f>IF(ISNUMBER(SEARCH("Laboratory evaluations",'Data extraction-synthesis'!J42)),"X","")</f>
        <v/>
      </c>
      <c r="L28" s="20" t="str">
        <f>IF(ISNUMBER(SEARCH("Models",'Data extraction-synthesis'!J42)),"X","")</f>
        <v/>
      </c>
      <c r="M28" s="20" t="str">
        <f>IF(ISNUMBER(SEARCH("Early usability studies",'Data extraction-synthesis'!J42)),"X","")</f>
        <v/>
      </c>
      <c r="N28" s="20" t="str">
        <f>IF(ISNUMBER(SEARCH("No input sources reported",'Data extraction-synthesis'!J42)),"X","")</f>
        <v/>
      </c>
      <c r="O28" s="20" t="str">
        <f>IF(ISNUMBER(SEARCH("N/A",'Data extraction-synthesis'!J42)),"X","")</f>
        <v/>
      </c>
      <c r="P28" s="9" t="str">
        <f t="shared" si="0"/>
        <v>NO</v>
      </c>
    </row>
    <row r="29" spans="1:16" ht="93">
      <c r="A29" s="56" t="s">
        <v>61</v>
      </c>
      <c r="B29" s="19" t="s">
        <v>103</v>
      </c>
      <c r="C29" s="20" t="str">
        <f>IF(ISNUMBER(SEARCH("Literature",'Data extraction-synthesis'!J44)),"X","")</f>
        <v>X</v>
      </c>
      <c r="D29" s="20" t="str">
        <f>IF(ISNUMBER(SEARCH("Industry standard",'Data extraction-synthesis'!J44)),"X","")</f>
        <v/>
      </c>
      <c r="E29" s="20" t="str">
        <f>IF(ISNUMBER(SEARCH("Guidelines",'Data extraction-synthesis'!J44)),"X","")</f>
        <v/>
      </c>
      <c r="F29" s="20" t="str">
        <f>IF(ISNUMBER(SEARCH("Interviews with experts",'Data extraction-synthesis'!J44)),"X","")</f>
        <v/>
      </c>
      <c r="G29" s="20" t="str">
        <f>IF(ISNUMBER(SEARCH("Surveys with experts/expert opinion",'Data extraction-synthesis'!J44)),"X","")</f>
        <v/>
      </c>
      <c r="H29" s="20" t="str">
        <f>IF(ISNUMBER(SEARCH("Consensus meeting inputs",'Data extraction-synthesis'!J44)),"X","")</f>
        <v/>
      </c>
      <c r="I29" s="20" t="str">
        <f>IF(ISNUMBER(SEARCH("Available data",'Data extraction-synthesis'!J44)),"X","")</f>
        <v/>
      </c>
      <c r="J29" s="20" t="str">
        <f>IF(ISNUMBER(SEARCH("Field observations",'Data extraction-synthesis'!J44)),"X","")</f>
        <v/>
      </c>
      <c r="K29" s="20" t="str">
        <f>IF(ISNUMBER(SEARCH("Laboratory evaluations",'Data extraction-synthesis'!J44)),"X","")</f>
        <v/>
      </c>
      <c r="L29" s="20" t="str">
        <f>IF(ISNUMBER(SEARCH("Models",'Data extraction-synthesis'!J44)),"X","")</f>
        <v/>
      </c>
      <c r="M29" s="20" t="str">
        <f>IF(ISNUMBER(SEARCH("Early usability studies",'Data extraction-synthesis'!J44)),"X","")</f>
        <v/>
      </c>
      <c r="N29" s="20" t="str">
        <f>IF(ISNUMBER(SEARCH("No input sources reported",'Data extraction-synthesis'!J44)),"X","")</f>
        <v/>
      </c>
      <c r="O29" s="20" t="str">
        <f>IF(ISNUMBER(SEARCH("N/A",'Data extraction-synthesis'!J44)),"X","")</f>
        <v/>
      </c>
      <c r="P29" s="9" t="str">
        <f t="shared" si="0"/>
        <v>NO</v>
      </c>
    </row>
    <row r="30" spans="1:16" ht="53.4">
      <c r="A30" s="56" t="s">
        <v>100</v>
      </c>
      <c r="B30" s="19" t="s">
        <v>101</v>
      </c>
      <c r="C30" s="20" t="str">
        <f>IF(ISNUMBER(SEARCH("Literature",'Data extraction-synthesis'!J43)),"X","")</f>
        <v/>
      </c>
      <c r="D30" s="20" t="str">
        <f>IF(ISNUMBER(SEARCH("Industry standard",'Data extraction-synthesis'!J43)),"X","")</f>
        <v/>
      </c>
      <c r="E30" s="20" t="str">
        <f>IF(ISNUMBER(SEARCH("Guidelines",'Data extraction-synthesis'!J43)),"X","")</f>
        <v/>
      </c>
      <c r="F30" s="20" t="str">
        <f>IF(ISNUMBER(SEARCH("Interviews with experts",'Data extraction-synthesis'!J43)),"X","")</f>
        <v/>
      </c>
      <c r="G30" s="20" t="str">
        <f>IF(ISNUMBER(SEARCH("Surveys with experts/expert opinion",'Data extraction-synthesis'!J43)),"X","")</f>
        <v/>
      </c>
      <c r="H30" s="20" t="str">
        <f>IF(ISNUMBER(SEARCH("Consensus meeting inputs",'Data extraction-synthesis'!J43)),"X","")</f>
        <v/>
      </c>
      <c r="I30" s="20" t="str">
        <f>IF(ISNUMBER(SEARCH("Available data",'Data extraction-synthesis'!J43)),"X","")</f>
        <v/>
      </c>
      <c r="J30" s="20" t="str">
        <f>IF(ISNUMBER(SEARCH("Field observations",'Data extraction-synthesis'!J43)),"X","")</f>
        <v/>
      </c>
      <c r="K30" s="20" t="str">
        <f>IF(ISNUMBER(SEARCH("Laboratory evaluations",'Data extraction-synthesis'!J43)),"X","")</f>
        <v/>
      </c>
      <c r="L30" s="20" t="str">
        <f>IF(ISNUMBER(SEARCH("Models",'Data extraction-synthesis'!J43)),"X","")</f>
        <v/>
      </c>
      <c r="M30" s="20" t="str">
        <f>IF(ISNUMBER(SEARCH("Early usability studies",'Data extraction-synthesis'!J43)),"X","")</f>
        <v/>
      </c>
      <c r="N30" s="20" t="str">
        <f>IF(ISNUMBER(SEARCH("No input sources reported",'Data extraction-synthesis'!J43)),"X","")</f>
        <v/>
      </c>
      <c r="O30" s="20" t="str">
        <f>IF(ISNUMBER(SEARCH("N/A",'Data extraction-synthesis'!J43)),"X","")</f>
        <v>X</v>
      </c>
      <c r="P30" s="9" t="str">
        <f t="shared" si="0"/>
        <v>N/A</v>
      </c>
    </row>
    <row r="31" spans="1:16" ht="79.8">
      <c r="A31" s="56" t="s">
        <v>45</v>
      </c>
      <c r="B31" s="19" t="s">
        <v>46</v>
      </c>
      <c r="C31" s="20" t="str">
        <f>IF(ISNUMBER(SEARCH("Literature",'Data extraction-synthesis'!J12)),"X","")</f>
        <v/>
      </c>
      <c r="D31" s="20" t="str">
        <f>IF(ISNUMBER(SEARCH("Industry standard",'Data extraction-synthesis'!J12)),"X","")</f>
        <v/>
      </c>
      <c r="E31" s="20" t="str">
        <f>IF(ISNUMBER(SEARCH("Guidelines",'Data extraction-synthesis'!J12)),"X","")</f>
        <v/>
      </c>
      <c r="F31" s="20" t="str">
        <f>IF(ISNUMBER(SEARCH("Interviews with experts",'Data extraction-synthesis'!J12)),"X","")</f>
        <v/>
      </c>
      <c r="G31" s="20" t="str">
        <f>IF(ISNUMBER(SEARCH("Surveys with experts/expert opinion",'Data extraction-synthesis'!J12)),"X","")</f>
        <v/>
      </c>
      <c r="H31" s="20" t="str">
        <f>IF(ISNUMBER(SEARCH("Consensus meeting inputs",'Data extraction-synthesis'!J12)),"X","")</f>
        <v/>
      </c>
      <c r="I31" s="20" t="str">
        <f>IF(ISNUMBER(SEARCH("Available data",'Data extraction-synthesis'!J12)),"X","")</f>
        <v/>
      </c>
      <c r="J31" s="20" t="str">
        <f>IF(ISNUMBER(SEARCH("Field observations",'Data extraction-synthesis'!J12)),"X","")</f>
        <v/>
      </c>
      <c r="K31" s="20" t="str">
        <f>IF(ISNUMBER(SEARCH("Laboratory evaluations",'Data extraction-synthesis'!J12)),"X","")</f>
        <v/>
      </c>
      <c r="L31" s="20" t="str">
        <f>IF(ISNUMBER(SEARCH("Models",'Data extraction-synthesis'!J12)),"X","")</f>
        <v/>
      </c>
      <c r="M31" s="20" t="str">
        <f>IF(ISNUMBER(SEARCH("Early usability studies",'Data extraction-synthesis'!J12)),"X","")</f>
        <v/>
      </c>
      <c r="N31" s="20" t="str">
        <f>IF(ISNUMBER(SEARCH("No input sources reported",'Data extraction-synthesis'!J12)),"X","")</f>
        <v>X</v>
      </c>
      <c r="O31" s="20" t="str">
        <f>IF(ISNUMBER(SEARCH("N/A",'Data extraction-synthesis'!J12)),"X","")</f>
        <v/>
      </c>
      <c r="P31" s="9" t="str">
        <f t="shared" si="0"/>
        <v>N/A</v>
      </c>
    </row>
    <row r="32" spans="1:16" ht="66.6">
      <c r="A32" s="56" t="s">
        <v>48</v>
      </c>
      <c r="B32" s="19" t="s">
        <v>49</v>
      </c>
      <c r="C32" s="20" t="str">
        <f>IF(ISNUMBER(SEARCH("Literature",'Data extraction-synthesis'!J13)),"X","")</f>
        <v>X</v>
      </c>
      <c r="D32" s="20" t="str">
        <f>IF(ISNUMBER(SEARCH("Industry standard",'Data extraction-synthesis'!J13)),"X","")</f>
        <v/>
      </c>
      <c r="E32" s="20" t="str">
        <f>IF(ISNUMBER(SEARCH("Guidelines",'Data extraction-synthesis'!J13)),"X","")</f>
        <v/>
      </c>
      <c r="F32" s="20" t="str">
        <f>IF(ISNUMBER(SEARCH("Interviews with experts",'Data extraction-synthesis'!J13)),"X","")</f>
        <v/>
      </c>
      <c r="G32" s="20"/>
      <c r="H32" s="20" t="str">
        <f>IF(ISNUMBER(SEARCH("Consensus meeting inputs",'Data extraction-synthesis'!J13)),"X","")</f>
        <v/>
      </c>
      <c r="I32" s="82" t="s">
        <v>198</v>
      </c>
      <c r="J32" s="20" t="str">
        <f>IF(ISNUMBER(SEARCH("Field observations",'Data extraction-synthesis'!J13)),"X","")</f>
        <v/>
      </c>
      <c r="K32" s="20" t="str">
        <f>IF(ISNUMBER(SEARCH("Laboratory evaluations",'Data extraction-synthesis'!J13)),"X","")</f>
        <v/>
      </c>
      <c r="L32" s="20"/>
      <c r="M32" s="20" t="str">
        <f>IF(ISNUMBER(SEARCH("Early usability studies",'Data extraction-synthesis'!J13)),"X","")</f>
        <v/>
      </c>
      <c r="N32" s="20" t="str">
        <f>IF(ISNUMBER(SEARCH("No input sources reported",'Data extraction-synthesis'!J13)),"X","")</f>
        <v/>
      </c>
      <c r="O32" s="20" t="str">
        <f>IF(ISNUMBER(SEARCH("N/A",'Data extraction-synthesis'!J13)),"X","")</f>
        <v/>
      </c>
      <c r="P32" s="9" t="str">
        <f t="shared" si="0"/>
        <v>YES</v>
      </c>
    </row>
    <row r="33" spans="1:16" ht="93">
      <c r="A33" s="56" t="s">
        <v>50</v>
      </c>
      <c r="B33" s="19" t="s">
        <v>51</v>
      </c>
      <c r="C33" s="20" t="str">
        <f>IF(ISNUMBER(SEARCH("Literature",'Data extraction-synthesis'!J14)),"X","")</f>
        <v/>
      </c>
      <c r="D33" s="20" t="str">
        <f>IF(ISNUMBER(SEARCH("Industry standard",'Data extraction-synthesis'!J14)),"X","")</f>
        <v/>
      </c>
      <c r="E33" s="20" t="str">
        <f>IF(ISNUMBER(SEARCH("Guidelines",'Data extraction-synthesis'!J14)),"X","")</f>
        <v/>
      </c>
      <c r="F33" s="20" t="str">
        <f>IF(ISNUMBER(SEARCH("Interviews with experts",'Data extraction-synthesis'!J14)),"X","")</f>
        <v/>
      </c>
      <c r="G33" s="20" t="str">
        <f>IF(ISNUMBER(SEARCH("Surveys with experts/expert opinion",'Data extraction-synthesis'!J14)),"X","")</f>
        <v/>
      </c>
      <c r="H33" s="20" t="str">
        <f>IF(ISNUMBER(SEARCH("Consensus meeting inputs",'Data extraction-synthesis'!J14)),"X","")</f>
        <v/>
      </c>
      <c r="I33" s="20" t="str">
        <f>IF(ISNUMBER(SEARCH("Available data",'Data extraction-synthesis'!J14)),"X","")</f>
        <v/>
      </c>
      <c r="J33" s="20" t="str">
        <f>IF(ISNUMBER(SEARCH("Field observations",'Data extraction-synthesis'!J14)),"X","")</f>
        <v/>
      </c>
      <c r="K33" s="20" t="str">
        <f>IF(ISNUMBER(SEARCH("Laboratory evaluations",'Data extraction-synthesis'!J14)),"X","")</f>
        <v/>
      </c>
      <c r="L33" s="20" t="str">
        <f>IF(ISNUMBER(SEARCH("Models",'Data extraction-synthesis'!J14)),"X","")</f>
        <v/>
      </c>
      <c r="M33" s="20" t="str">
        <f>IF(ISNUMBER(SEARCH("Early usability studies",'Data extraction-synthesis'!J14)),"X","")</f>
        <v/>
      </c>
      <c r="N33" s="20" t="str">
        <f>IF(ISNUMBER(SEARCH("No input sources reported",'Data extraction-synthesis'!J14)),"X","")</f>
        <v>X</v>
      </c>
      <c r="O33" s="20" t="str">
        <f>IF(ISNUMBER(SEARCH("N/A",'Data extraction-synthesis'!J14)),"X","")</f>
        <v/>
      </c>
      <c r="P33" s="9" t="str">
        <f t="shared" si="0"/>
        <v>N/A</v>
      </c>
    </row>
    <row r="34" spans="1:16" ht="79.8">
      <c r="A34" s="56" t="s">
        <v>53</v>
      </c>
      <c r="B34" s="19" t="s">
        <v>54</v>
      </c>
      <c r="C34" s="20" t="str">
        <f>IF(ISNUMBER(SEARCH("Literature",'Data extraction-synthesis'!J15)),"X","")</f>
        <v/>
      </c>
      <c r="D34" s="20" t="str">
        <f>IF(ISNUMBER(SEARCH("Industry standard",'Data extraction-synthesis'!J15)),"X","")</f>
        <v/>
      </c>
      <c r="E34" s="20" t="str">
        <f>IF(ISNUMBER(SEARCH("Guidelines",'Data extraction-synthesis'!J15)),"X","")</f>
        <v/>
      </c>
      <c r="F34" s="20" t="str">
        <f>IF(ISNUMBER(SEARCH("Interviews with experts",'Data extraction-synthesis'!J15)),"X","")</f>
        <v/>
      </c>
      <c r="G34" s="20" t="str">
        <f>IF(ISNUMBER(SEARCH("Surveys with experts/expert opinion",'Data extraction-synthesis'!J15)),"X","")</f>
        <v/>
      </c>
      <c r="H34" s="20"/>
      <c r="I34" s="20" t="str">
        <f>IF(ISNUMBER(SEARCH("Available data",'Data extraction-synthesis'!J15)),"X","")</f>
        <v/>
      </c>
      <c r="J34" s="20" t="str">
        <f>IF(ISNUMBER(SEARCH("Field observations",'Data extraction-synthesis'!J15)),"X","")</f>
        <v/>
      </c>
      <c r="K34" s="20" t="str">
        <f>IF(ISNUMBER(SEARCH("Laboratory evaluations",'Data extraction-synthesis'!J15)),"X","")</f>
        <v/>
      </c>
      <c r="L34" s="20" t="str">
        <f>IF(ISNUMBER(SEARCH("Models",'Data extraction-synthesis'!J15)),"X","")</f>
        <v/>
      </c>
      <c r="M34" s="20" t="str">
        <f>IF(ISNUMBER(SEARCH("Early usability studies",'Data extraction-synthesis'!J15)),"X","")</f>
        <v/>
      </c>
      <c r="N34" s="20" t="str">
        <f>IF(ISNUMBER(SEARCH("No input sources reported",'Data extraction-synthesis'!J15)),"X","")</f>
        <v/>
      </c>
      <c r="O34" s="20" t="str">
        <f>IF(ISNUMBER(SEARCH("N/A",'Data extraction-synthesis'!J15)),"X","")</f>
        <v/>
      </c>
      <c r="P34" s="9" t="str">
        <f t="shared" si="0"/>
        <v>NO</v>
      </c>
    </row>
    <row r="35" spans="1:16" ht="40.2">
      <c r="A35" s="56" t="s">
        <v>65</v>
      </c>
      <c r="B35" s="19" t="s">
        <v>66</v>
      </c>
      <c r="C35" s="20" t="str">
        <f>IF(ISNUMBER(SEARCH("Literature",#REF!)),"X","")</f>
        <v/>
      </c>
      <c r="D35" s="20" t="str">
        <f>IF(ISNUMBER(SEARCH("Industry standard",#REF!)),"X","")</f>
        <v/>
      </c>
      <c r="E35" s="20" t="str">
        <f>IF(ISNUMBER(SEARCH("Guidelines",#REF!)),"X","")</f>
        <v/>
      </c>
      <c r="F35" s="20" t="str">
        <f>IF(ISNUMBER(SEARCH("Interviews with experts",#REF!)),"X","")</f>
        <v/>
      </c>
      <c r="G35" s="20" t="str">
        <f>IF(ISNUMBER(SEARCH("Surveys with experts/expert opinion",#REF!)),"X","")</f>
        <v/>
      </c>
      <c r="H35" s="20" t="str">
        <f>IF(ISNUMBER(SEARCH("Consensus meeting inputs",#REF!)),"X","")</f>
        <v/>
      </c>
      <c r="I35" s="20" t="str">
        <f>IF(ISNUMBER(SEARCH("Available data",#REF!)),"X","")</f>
        <v/>
      </c>
      <c r="J35" s="20" t="str">
        <f>IF(ISNUMBER(SEARCH("Field observations",#REF!)),"X","")</f>
        <v/>
      </c>
      <c r="K35" s="20" t="str">
        <f>IF(ISNUMBER(SEARCH("Laboratory evaluations",#REF!)),"X","")</f>
        <v/>
      </c>
      <c r="L35" s="20" t="str">
        <f>IF(ISNUMBER(SEARCH("Models",#REF!)),"X","")</f>
        <v/>
      </c>
      <c r="M35" s="20" t="str">
        <f>IF(ISNUMBER(SEARCH("Early usability studies",#REF!)),"X","")</f>
        <v/>
      </c>
      <c r="N35" s="20" t="str">
        <f>IF(ISNUMBER(SEARCH("No input sources reported",'Data extraction-synthesis'!J22)),"X","")</f>
        <v>X</v>
      </c>
      <c r="O35" s="20" t="str">
        <f>IF(ISNUMBER(SEARCH("N/A",#REF!)),"X","")</f>
        <v/>
      </c>
      <c r="P35" s="9" t="str">
        <f t="shared" si="0"/>
        <v>N/A</v>
      </c>
    </row>
    <row r="36" spans="1:16" ht="40.2">
      <c r="A36" s="56" t="s">
        <v>65</v>
      </c>
      <c r="B36" s="19" t="s">
        <v>67</v>
      </c>
      <c r="C36" s="20" t="str">
        <f>IF(ISNUMBER(SEARCH("Literature",'Data extraction-synthesis'!J22)),"X","")</f>
        <v/>
      </c>
      <c r="D36" s="20" t="str">
        <f>IF(ISNUMBER(SEARCH("Industry standard",'Data extraction-synthesis'!J22)),"X","")</f>
        <v/>
      </c>
      <c r="E36" s="20" t="str">
        <f>IF(ISNUMBER(SEARCH("Guidelines",'Data extraction-synthesis'!J22)),"X","")</f>
        <v/>
      </c>
      <c r="F36" s="20" t="str">
        <f>IF(ISNUMBER(SEARCH("Interviews with experts",'Data extraction-synthesis'!J22)),"X","")</f>
        <v/>
      </c>
      <c r="G36" s="20" t="str">
        <f>IF(ISNUMBER(SEARCH("Surveys with experts/expert opinion",'Data extraction-synthesis'!J22)),"X","")</f>
        <v/>
      </c>
      <c r="H36" s="20" t="str">
        <f>IF(ISNUMBER(SEARCH("Consensus meeting inputs",'Data extraction-synthesis'!J22)),"X","")</f>
        <v/>
      </c>
      <c r="I36" s="20" t="str">
        <f>IF(ISNUMBER(SEARCH("Available data",'Data extraction-synthesis'!J22)),"X","")</f>
        <v/>
      </c>
      <c r="J36" s="20" t="str">
        <f>IF(ISNUMBER(SEARCH("Field observations",'Data extraction-synthesis'!J22)),"X","")</f>
        <v/>
      </c>
      <c r="K36" s="20" t="str">
        <f>IF(ISNUMBER(SEARCH("Laboratory evaluations",'Data extraction-synthesis'!J22)),"X","")</f>
        <v/>
      </c>
      <c r="L36" s="20" t="str">
        <f>IF(ISNUMBER(SEARCH("Models",'Data extraction-synthesis'!J22)),"X","")</f>
        <v/>
      </c>
      <c r="M36" s="20" t="str">
        <f>IF(ISNUMBER(SEARCH("Early usability studies",'Data extraction-synthesis'!J22)),"X","")</f>
        <v/>
      </c>
      <c r="N36" s="20" t="str">
        <f>IF(ISNUMBER(SEARCH("No input sources reported",'Data extraction-synthesis'!J23)),"X","")</f>
        <v>X</v>
      </c>
      <c r="O36" s="20" t="str">
        <f>IF(ISNUMBER(SEARCH("N/A",'Data extraction-synthesis'!J22)),"X","")</f>
        <v/>
      </c>
      <c r="P36" s="9" t="str">
        <f t="shared" si="0"/>
        <v>N/A</v>
      </c>
    </row>
    <row r="37" spans="1:16" ht="40.2">
      <c r="A37" s="56" t="s">
        <v>65</v>
      </c>
      <c r="B37" s="19" t="s">
        <v>77</v>
      </c>
      <c r="C37" s="20" t="str">
        <f>IF(ISNUMBER(SEARCH("Literature",'Data extraction-synthesis'!J31)),"X","")</f>
        <v/>
      </c>
      <c r="D37" s="20" t="str">
        <f>IF(ISNUMBER(SEARCH("Industry standard",'Data extraction-synthesis'!J31)),"X","")</f>
        <v/>
      </c>
      <c r="E37" s="20" t="str">
        <f>IF(ISNUMBER(SEARCH("Guidelines",'Data extraction-synthesis'!J31)),"X","")</f>
        <v/>
      </c>
      <c r="F37" s="20" t="str">
        <f>IF(ISNUMBER(SEARCH("Interviews with experts",'Data extraction-synthesis'!J31)),"X","")</f>
        <v/>
      </c>
      <c r="G37" s="20" t="str">
        <f>IF(ISNUMBER(SEARCH("Surveys with experts/expert opinion",'Data extraction-synthesis'!J31)),"X","")</f>
        <v/>
      </c>
      <c r="H37" s="20" t="str">
        <f>IF(ISNUMBER(SEARCH("Consensus meeting inputs",'Data extraction-synthesis'!J31)),"X","")</f>
        <v/>
      </c>
      <c r="I37" s="20" t="str">
        <f>IF(ISNUMBER(SEARCH("Available data",'Data extraction-synthesis'!J31)),"X","")</f>
        <v/>
      </c>
      <c r="J37" s="20" t="str">
        <f>IF(ISNUMBER(SEARCH("Field observations",'Data extraction-synthesis'!J31)),"X","")</f>
        <v/>
      </c>
      <c r="K37" s="20" t="str">
        <f>IF(ISNUMBER(SEARCH("Laboratory evaluations",'Data extraction-synthesis'!J31)),"X","")</f>
        <v/>
      </c>
      <c r="L37" s="20" t="str">
        <f>IF(ISNUMBER(SEARCH("Models",'Data extraction-synthesis'!J31)),"X","")</f>
        <v/>
      </c>
      <c r="M37" s="20" t="str">
        <f>IF(ISNUMBER(SEARCH("Early usability studies",'Data extraction-synthesis'!J31)),"X","")</f>
        <v/>
      </c>
      <c r="N37" s="20" t="str">
        <f>IF(ISNUMBER(SEARCH("No input sources reported",'Data extraction-synthesis'!J31)),"X","")</f>
        <v/>
      </c>
      <c r="O37" s="20" t="str">
        <f>IF(ISNUMBER(SEARCH("N/A",'Data extraction-synthesis'!J31)),"X","")</f>
        <v>X</v>
      </c>
      <c r="P37" s="9" t="str">
        <f t="shared" si="0"/>
        <v>N/A</v>
      </c>
    </row>
    <row r="38" spans="1:16" ht="66.6">
      <c r="A38" s="56" t="s">
        <v>65</v>
      </c>
      <c r="B38" s="19" t="s">
        <v>78</v>
      </c>
      <c r="C38" s="20" t="str">
        <f>IF(ISNUMBER(SEARCH("Literature",'Data extraction-synthesis'!J32)),"X","")</f>
        <v/>
      </c>
      <c r="D38" s="20" t="str">
        <f>IF(ISNUMBER(SEARCH("Industry standard",'Data extraction-synthesis'!J32)),"X","")</f>
        <v/>
      </c>
      <c r="E38" s="20" t="str">
        <f>IF(ISNUMBER(SEARCH("Guidelines",'Data extraction-synthesis'!J32)),"X","")</f>
        <v/>
      </c>
      <c r="F38" s="20" t="str">
        <f>IF(ISNUMBER(SEARCH("Interviews with experts",'Data extraction-synthesis'!J32)),"X","")</f>
        <v/>
      </c>
      <c r="G38" s="20" t="str">
        <f>IF(ISNUMBER(SEARCH("Surveys with experts/expert opinion",'Data extraction-synthesis'!J32)),"X","")</f>
        <v/>
      </c>
      <c r="H38" s="20" t="str">
        <f>IF(ISNUMBER(SEARCH("Consensus meeting inputs",'Data extraction-synthesis'!J32)),"X","")</f>
        <v/>
      </c>
      <c r="I38" s="20" t="str">
        <f>IF(ISNUMBER(SEARCH("Available data",'Data extraction-synthesis'!J32)),"X","")</f>
        <v/>
      </c>
      <c r="J38" s="20" t="str">
        <f>IF(ISNUMBER(SEARCH("Field observations",'Data extraction-synthesis'!J32)),"X","")</f>
        <v/>
      </c>
      <c r="K38" s="20" t="str">
        <f>IF(ISNUMBER(SEARCH("Laboratory evaluations",'Data extraction-synthesis'!J32)),"X","")</f>
        <v/>
      </c>
      <c r="L38" s="20" t="str">
        <f>IF(ISNUMBER(SEARCH("Models",'Data extraction-synthesis'!J32)),"X","")</f>
        <v/>
      </c>
      <c r="M38" s="20" t="str">
        <f>IF(ISNUMBER(SEARCH("Early usability studies",'Data extraction-synthesis'!J32)),"X","")</f>
        <v/>
      </c>
      <c r="N38" s="20" t="str">
        <f>IF(ISNUMBER(SEARCH("No input sources reported",'Data extraction-synthesis'!J32)),"X","")</f>
        <v/>
      </c>
      <c r="O38" s="20" t="str">
        <f>IF(ISNUMBER(SEARCH("N/A",'Data extraction-synthesis'!J32)),"X","")</f>
        <v>X</v>
      </c>
      <c r="P38" s="9" t="str">
        <f t="shared" si="0"/>
        <v>N/A</v>
      </c>
    </row>
    <row r="39" spans="1:16" ht="27">
      <c r="A39" s="56" t="s">
        <v>75</v>
      </c>
      <c r="B39" s="19" t="s">
        <v>76</v>
      </c>
      <c r="C39" s="20" t="str">
        <f>IF(ISNUMBER(SEARCH("Literature",'Data extraction-synthesis'!J30)),"X","")</f>
        <v/>
      </c>
      <c r="D39" s="20" t="str">
        <f>IF(ISNUMBER(SEARCH("Industry standard",'Data extraction-synthesis'!J30)),"X","")</f>
        <v/>
      </c>
      <c r="E39" s="20" t="str">
        <f>IF(ISNUMBER(SEARCH("Guidelines",'Data extraction-synthesis'!J30)),"X","")</f>
        <v/>
      </c>
      <c r="F39" s="20" t="str">
        <f>IF(ISNUMBER(SEARCH("Interviews with experts",'Data extraction-synthesis'!J30)),"X","")</f>
        <v/>
      </c>
      <c r="G39" s="20" t="str">
        <f>IF(ISNUMBER(SEARCH("Surveys with experts/expert opinion",'Data extraction-synthesis'!J30)),"X","")</f>
        <v/>
      </c>
      <c r="H39" s="20" t="str">
        <f>IF(ISNUMBER(SEARCH("Consensus meeting inputs",'Data extraction-synthesis'!J30)),"X","")</f>
        <v/>
      </c>
      <c r="I39" s="20" t="str">
        <f>IF(ISNUMBER(SEARCH("Available data",'Data extraction-synthesis'!J30)),"X","")</f>
        <v/>
      </c>
      <c r="J39" s="20" t="str">
        <f>IF(ISNUMBER(SEARCH("Field observations",'Data extraction-synthesis'!J30)),"X","")</f>
        <v/>
      </c>
      <c r="K39" s="20" t="str">
        <f>IF(ISNUMBER(SEARCH("Laboratory evaluations",'Data extraction-synthesis'!J30)),"X","")</f>
        <v/>
      </c>
      <c r="L39" s="20" t="str">
        <f>IF(ISNUMBER(SEARCH("Models",'Data extraction-synthesis'!J30)),"X","")</f>
        <v/>
      </c>
      <c r="M39" s="20" t="str">
        <f>IF(ISNUMBER(SEARCH("Early usability studies",'Data extraction-synthesis'!J30)),"X","")</f>
        <v/>
      </c>
      <c r="N39" s="20" t="str">
        <f>IF(ISNUMBER(SEARCH("No input sources reported",'Data extraction-synthesis'!J30)),"X","")</f>
        <v/>
      </c>
      <c r="O39" s="20" t="str">
        <f>IF(ISNUMBER(SEARCH("N/A",'Data extraction-synthesis'!J30)),"X","")</f>
        <v>X</v>
      </c>
      <c r="P39" s="9" t="str">
        <f t="shared" si="0"/>
        <v>N/A</v>
      </c>
    </row>
    <row r="40" spans="1:16" ht="66.6">
      <c r="A40" s="56" t="s">
        <v>36</v>
      </c>
      <c r="B40" s="22" t="s">
        <v>68</v>
      </c>
      <c r="C40" s="20" t="str">
        <f>IF(ISNUMBER(SEARCH("Literature",'Data extraction-synthesis'!J24)),"X","")</f>
        <v>X</v>
      </c>
      <c r="D40" s="20" t="str">
        <f>IF(ISNUMBER(SEARCH("Industry standard",'Data extraction-synthesis'!J24)),"X","")</f>
        <v/>
      </c>
      <c r="E40" s="20" t="str">
        <f>IF(ISNUMBER(SEARCH("Guidelines",'Data extraction-synthesis'!J24)),"X","")</f>
        <v/>
      </c>
      <c r="F40" s="20" t="str">
        <f>IF(ISNUMBER(SEARCH("Interviews with experts",'Data extraction-synthesis'!J24)),"X","")</f>
        <v/>
      </c>
      <c r="G40" s="20" t="str">
        <f>IF(ISNUMBER(SEARCH("Surveys with experts/expert opinion",'Data extraction-synthesis'!J24)),"X","")</f>
        <v>X</v>
      </c>
      <c r="H40" s="20" t="str">
        <f>IF(ISNUMBER(SEARCH("Consensus meeting inputs",'Data extraction-synthesis'!J24)),"X","")</f>
        <v/>
      </c>
      <c r="I40" s="20" t="str">
        <f>IF(ISNUMBER(SEARCH("Available data",'Data extraction-synthesis'!J24)),"X","")</f>
        <v/>
      </c>
      <c r="J40" s="20" t="str">
        <f>IF(ISNUMBER(SEARCH("Field observations",'Data extraction-synthesis'!J24)),"X","")</f>
        <v/>
      </c>
      <c r="K40" s="20" t="str">
        <f>IF(ISNUMBER(SEARCH("Laboratory evaluations",'Data extraction-synthesis'!J24)),"X","")</f>
        <v/>
      </c>
      <c r="L40" s="20" t="str">
        <f>IF(ISNUMBER(SEARCH("Models",'Data extraction-synthesis'!J24)),"X","")</f>
        <v>X</v>
      </c>
      <c r="M40" s="20" t="str">
        <f>IF(ISNUMBER(SEARCH("Early usability studies",'Data extraction-synthesis'!J24)),"X","")</f>
        <v/>
      </c>
      <c r="N40" s="20" t="str">
        <f>IF(ISNUMBER(SEARCH("No input sources reported",'Data extraction-synthesis'!J24)),"X","")</f>
        <v/>
      </c>
      <c r="O40" s="20" t="str">
        <f>IF(ISNUMBER(SEARCH("N/A",'Data extraction-synthesis'!J24)),"X","")</f>
        <v/>
      </c>
      <c r="P40" s="9" t="str">
        <f t="shared" si="0"/>
        <v>YES</v>
      </c>
    </row>
    <row r="41" spans="1:16" ht="106.2">
      <c r="A41" s="56" t="s">
        <v>36</v>
      </c>
      <c r="B41" s="19" t="s">
        <v>69</v>
      </c>
      <c r="C41" s="20" t="str">
        <f>IF(ISNUMBER(SEARCH("Literature",'Data extraction-synthesis'!J25)),"X","")</f>
        <v/>
      </c>
      <c r="D41" s="20" t="str">
        <f>IF(ISNUMBER(SEARCH("Industry standard",'Data extraction-synthesis'!J25)),"X","")</f>
        <v/>
      </c>
      <c r="E41" s="20" t="str">
        <f>IF(ISNUMBER(SEARCH("Guidelines",'Data extraction-synthesis'!J25)),"X","")</f>
        <v/>
      </c>
      <c r="F41" s="20" t="str">
        <f>IF(ISNUMBER(SEARCH("Interviews with experts",'Data extraction-synthesis'!J25)),"X","")</f>
        <v/>
      </c>
      <c r="G41" s="20" t="str">
        <f>IF(ISNUMBER(SEARCH("Surveys with experts/expert opinion",'Data extraction-synthesis'!J25)),"X","")</f>
        <v/>
      </c>
      <c r="H41" s="20" t="str">
        <f>IF(ISNUMBER(SEARCH("Consensus meeting inputs",'Data extraction-synthesis'!J25)),"X","")</f>
        <v/>
      </c>
      <c r="I41" s="20" t="str">
        <f>IF(ISNUMBER(SEARCH("Available data",'Data extraction-synthesis'!J25)),"X","")</f>
        <v/>
      </c>
      <c r="J41" s="20" t="str">
        <f>IF(ISNUMBER(SEARCH("Field observations",'Data extraction-synthesis'!J25)),"X","")</f>
        <v/>
      </c>
      <c r="K41" s="20" t="str">
        <f>IF(ISNUMBER(SEARCH("Laboratory evaluations",'Data extraction-synthesis'!J25)),"X","")</f>
        <v/>
      </c>
      <c r="L41" s="20" t="str">
        <f>IF(ISNUMBER(SEARCH("Models",'Data extraction-synthesis'!J25)),"X","")</f>
        <v/>
      </c>
      <c r="M41" s="20" t="str">
        <f>IF(ISNUMBER(SEARCH("Early usability studies",'Data extraction-synthesis'!J25)),"X","")</f>
        <v/>
      </c>
      <c r="N41" s="20" t="str">
        <f>IF(ISNUMBER(SEARCH("No input sources reported",'Data extraction-synthesis'!J25)),"X","")</f>
        <v/>
      </c>
      <c r="O41" s="20" t="str">
        <f>IF(ISNUMBER(SEARCH("N/A",'Data extraction-synthesis'!J25)),"X","")</f>
        <v>X</v>
      </c>
      <c r="P41" s="9" t="str">
        <f t="shared" si="0"/>
        <v>N/A</v>
      </c>
    </row>
    <row r="42" spans="1:16" ht="119.4">
      <c r="A42" s="56" t="s">
        <v>36</v>
      </c>
      <c r="B42" s="19" t="s">
        <v>70</v>
      </c>
      <c r="C42" s="20" t="str">
        <f>IF(ISNUMBER(SEARCH("Literature",'Data extraction-synthesis'!J26)),"X","")</f>
        <v/>
      </c>
      <c r="D42" s="20" t="str">
        <f>IF(ISNUMBER(SEARCH("Industry standard",'Data extraction-synthesis'!J26)),"X","")</f>
        <v/>
      </c>
      <c r="E42" s="20" t="str">
        <f>IF(ISNUMBER(SEARCH("Guidelines",'Data extraction-synthesis'!J26)),"X","")</f>
        <v/>
      </c>
      <c r="F42" s="20" t="str">
        <f>IF(ISNUMBER(SEARCH("Interviews with experts",'Data extraction-synthesis'!J26)),"X","")</f>
        <v/>
      </c>
      <c r="G42" s="20" t="str">
        <f>IF(ISNUMBER(SEARCH("Surveys with experts/expert opinion",'Data extraction-synthesis'!J26)),"X","")</f>
        <v/>
      </c>
      <c r="H42" s="20" t="str">
        <f>IF(ISNUMBER(SEARCH("Consensus meeting inputs",'Data extraction-synthesis'!J26)),"X","")</f>
        <v/>
      </c>
      <c r="I42" s="20" t="str">
        <f>IF(ISNUMBER(SEARCH("Available data",'Data extraction-synthesis'!J26)),"X","")</f>
        <v/>
      </c>
      <c r="J42" s="20" t="str">
        <f>IF(ISNUMBER(SEARCH("Field observations",'Data extraction-synthesis'!J26)),"X","")</f>
        <v/>
      </c>
      <c r="K42" s="20" t="str">
        <f>IF(ISNUMBER(SEARCH("Laboratory evaluations",'Data extraction-synthesis'!J26)),"X","")</f>
        <v/>
      </c>
      <c r="L42" s="20" t="str">
        <f>IF(ISNUMBER(SEARCH("Models",'Data extraction-synthesis'!J26)),"X","")</f>
        <v/>
      </c>
      <c r="M42" s="20" t="str">
        <f>IF(ISNUMBER(SEARCH("Early usability studies",'Data extraction-synthesis'!J26)),"X","")</f>
        <v/>
      </c>
      <c r="N42" s="20" t="str">
        <f>IF(ISNUMBER(SEARCH("No input sources reported",'Data extraction-synthesis'!J26)),"X","")</f>
        <v>X</v>
      </c>
      <c r="O42" s="20" t="str">
        <f>IF(ISNUMBER(SEARCH("N/A",'Data extraction-synthesis'!J26)),"X","")</f>
        <v/>
      </c>
      <c r="P42" s="9" t="str">
        <f t="shared" si="0"/>
        <v>N/A</v>
      </c>
    </row>
    <row r="43" spans="1:16" ht="79.8">
      <c r="A43" s="56" t="s">
        <v>36</v>
      </c>
      <c r="B43" s="19" t="s">
        <v>71</v>
      </c>
      <c r="C43" s="20" t="str">
        <f>IF(ISNUMBER(SEARCH("Literature",'Data extraction-synthesis'!J27)),"X","")</f>
        <v/>
      </c>
      <c r="D43" s="20" t="str">
        <f>IF(ISNUMBER(SEARCH("Industry standard",'Data extraction-synthesis'!J27)),"X","")</f>
        <v/>
      </c>
      <c r="E43" s="20" t="str">
        <f>IF(ISNUMBER(SEARCH("Guidelines",'Data extraction-synthesis'!J27)),"X","")</f>
        <v/>
      </c>
      <c r="F43" s="20" t="str">
        <f>IF(ISNUMBER(SEARCH("Interviews with experts",'Data extraction-synthesis'!J27)),"X","")</f>
        <v/>
      </c>
      <c r="G43" s="20" t="str">
        <f>IF(ISNUMBER(SEARCH("Surveys with experts/expert opinion",'Data extraction-synthesis'!J27)),"X","")</f>
        <v/>
      </c>
      <c r="H43" s="20" t="str">
        <f>IF(ISNUMBER(SEARCH("Consensus meeting inputs",'Data extraction-synthesis'!J27)),"X","")</f>
        <v/>
      </c>
      <c r="I43" s="20" t="str">
        <f>IF(ISNUMBER(SEARCH("Available data",'Data extraction-synthesis'!J27)),"X","")</f>
        <v/>
      </c>
      <c r="J43" s="20" t="str">
        <f>IF(ISNUMBER(SEARCH("Field observations",'Data extraction-synthesis'!J27)),"X","")</f>
        <v/>
      </c>
      <c r="K43" s="20" t="str">
        <f>IF(ISNUMBER(SEARCH("Laboratory evaluations",'Data extraction-synthesis'!J27)),"X","")</f>
        <v/>
      </c>
      <c r="L43" s="20" t="str">
        <f>IF(ISNUMBER(SEARCH("Models",'Data extraction-synthesis'!J27)),"X","")</f>
        <v/>
      </c>
      <c r="M43" s="20" t="str">
        <f>IF(ISNUMBER(SEARCH("Early usability studies",'Data extraction-synthesis'!J27)),"X","")</f>
        <v/>
      </c>
      <c r="N43" s="20" t="str">
        <f>IF(ISNUMBER(SEARCH("No input sources reported",'Data extraction-synthesis'!J27)),"X","")</f>
        <v>X</v>
      </c>
      <c r="O43" s="20" t="str">
        <f>IF(ISNUMBER(SEARCH("N/A",'Data extraction-synthesis'!J27)),"X","")</f>
        <v/>
      </c>
      <c r="P43" s="9" t="str">
        <f t="shared" si="0"/>
        <v>N/A</v>
      </c>
    </row>
    <row r="44" spans="1:16" ht="40.2">
      <c r="A44" s="56" t="s">
        <v>36</v>
      </c>
      <c r="B44" s="19" t="s">
        <v>72</v>
      </c>
      <c r="C44" s="20" t="str">
        <f>IF(ISNUMBER(SEARCH("Literature",'Data extraction-synthesis'!J28)),"X","")</f>
        <v/>
      </c>
      <c r="D44" s="20" t="str">
        <f>IF(ISNUMBER(SEARCH("Industry standard",'Data extraction-synthesis'!J28)),"X","")</f>
        <v/>
      </c>
      <c r="E44" s="20" t="str">
        <f>IF(ISNUMBER(SEARCH("Guidelines",'Data extraction-synthesis'!J28)),"X","")</f>
        <v/>
      </c>
      <c r="F44" s="20" t="str">
        <f>IF(ISNUMBER(SEARCH("Interviews with experts",'Data extraction-synthesis'!J28)),"X","")</f>
        <v/>
      </c>
      <c r="G44" s="20" t="str">
        <f>IF(ISNUMBER(SEARCH("Surveys with experts/expert opinion",'Data extraction-synthesis'!J28)),"X","")</f>
        <v/>
      </c>
      <c r="H44" s="20" t="str">
        <f>IF(ISNUMBER(SEARCH("Consensus meeting inputs",'Data extraction-synthesis'!J28)),"X","")</f>
        <v/>
      </c>
      <c r="I44" s="20" t="str">
        <f>IF(ISNUMBER(SEARCH("Available data",'Data extraction-synthesis'!J28)),"X","")</f>
        <v/>
      </c>
      <c r="J44" s="20" t="str">
        <f>IF(ISNUMBER(SEARCH("Field observations",'Data extraction-synthesis'!J28)),"X","")</f>
        <v/>
      </c>
      <c r="K44" s="20" t="str">
        <f>IF(ISNUMBER(SEARCH("Laboratory evaluations",'Data extraction-synthesis'!J28)),"X","")</f>
        <v/>
      </c>
      <c r="L44" s="20" t="str">
        <f>IF(ISNUMBER(SEARCH("Models",'Data extraction-synthesis'!J28)),"X","")</f>
        <v/>
      </c>
      <c r="M44" s="20" t="str">
        <f>IF(ISNUMBER(SEARCH("Early usability studies",'Data extraction-synthesis'!J28)),"X","")</f>
        <v/>
      </c>
      <c r="N44" s="20" t="str">
        <f>IF(ISNUMBER(SEARCH("No input sources reported",'Data extraction-synthesis'!J28)),"X","")</f>
        <v/>
      </c>
      <c r="O44" s="20" t="str">
        <f>IF(ISNUMBER(SEARCH("N/A",'Data extraction-synthesis'!J28)),"X","")</f>
        <v>X</v>
      </c>
      <c r="P44" s="9" t="str">
        <f t="shared" si="0"/>
        <v>N/A</v>
      </c>
    </row>
    <row r="45" spans="1:16" ht="66.6">
      <c r="A45" s="56" t="s">
        <v>36</v>
      </c>
      <c r="B45" s="19" t="s">
        <v>73</v>
      </c>
      <c r="C45" s="20" t="str">
        <f>IF(ISNUMBER(SEARCH("Literature",'Data extraction-synthesis'!J29)),"X","")</f>
        <v/>
      </c>
      <c r="D45" s="20" t="str">
        <f>IF(ISNUMBER(SEARCH("Industry standard",'Data extraction-synthesis'!J29)),"X","")</f>
        <v/>
      </c>
      <c r="E45" s="20" t="str">
        <f>IF(ISNUMBER(SEARCH("Guidelines",'Data extraction-synthesis'!J29)),"X","")</f>
        <v/>
      </c>
      <c r="F45" s="20" t="str">
        <f>IF(ISNUMBER(SEARCH("Interviews with experts",'Data extraction-synthesis'!J29)),"X","")</f>
        <v/>
      </c>
      <c r="G45" s="20" t="str">
        <f>IF(ISNUMBER(SEARCH("Surveys with experts/expert opinion",'Data extraction-synthesis'!J29)),"X","")</f>
        <v/>
      </c>
      <c r="H45" s="20" t="str">
        <f>IF(ISNUMBER(SEARCH("Consensus meeting inputs",'Data extraction-synthesis'!J29)),"X","")</f>
        <v/>
      </c>
      <c r="I45" s="20" t="str">
        <f>IF(ISNUMBER(SEARCH("Available data",'Data extraction-synthesis'!J29)),"X","")</f>
        <v/>
      </c>
      <c r="J45" s="20" t="str">
        <f>IF(ISNUMBER(SEARCH("Field observations",'Data extraction-synthesis'!J29)),"X","")</f>
        <v/>
      </c>
      <c r="K45" s="20" t="str">
        <f>IF(ISNUMBER(SEARCH("Laboratory evaluations",'Data extraction-synthesis'!J29)),"X","")</f>
        <v/>
      </c>
      <c r="L45" s="20" t="str">
        <f>IF(ISNUMBER(SEARCH("Models",'Data extraction-synthesis'!J29)),"X","")</f>
        <v/>
      </c>
      <c r="M45" s="20" t="str">
        <f>IF(ISNUMBER(SEARCH("Early usability studies",'Data extraction-synthesis'!J29)),"X","")</f>
        <v/>
      </c>
      <c r="N45" s="20" t="str">
        <f>IF(ISNUMBER(SEARCH("No input sources reported",'Data extraction-synthesis'!J29)),"X","")</f>
        <v/>
      </c>
      <c r="O45" s="20" t="str">
        <f>IF(ISNUMBER(SEARCH("N/A",'Data extraction-synthesis'!J29)),"X","")</f>
        <v>X</v>
      </c>
      <c r="P45" s="9" t="str">
        <f t="shared" si="0"/>
        <v>N/A</v>
      </c>
    </row>
    <row r="46" spans="1:16" ht="27">
      <c r="A46" s="56" t="s">
        <v>347</v>
      </c>
      <c r="B46" s="19" t="s">
        <v>348</v>
      </c>
      <c r="C46" s="20" t="str">
        <f>IF(ISNUMBER(SEARCH("Literature",'Data extraction-synthesis'!J45)),"X","")</f>
        <v/>
      </c>
      <c r="D46" s="20" t="str">
        <f>IF(ISNUMBER(SEARCH("Industry standard",'Data extraction-synthesis'!J45)),"X","")</f>
        <v/>
      </c>
      <c r="E46" s="20" t="str">
        <f>IF(ISNUMBER(SEARCH("Guidelines",'Data extraction-synthesis'!J45)),"X","")</f>
        <v/>
      </c>
      <c r="F46" s="20" t="str">
        <f>IF(ISNUMBER(SEARCH("Interviews with experts",'Data extraction-synthesis'!J45)),"X","")</f>
        <v/>
      </c>
      <c r="G46" s="20" t="str">
        <f>IF(ISNUMBER(SEARCH("Surveys with experts/expert opinion",'Data extraction-synthesis'!J45)),"X","")</f>
        <v/>
      </c>
      <c r="H46" s="20" t="str">
        <f>IF(ISNUMBER(SEARCH("Consensus meeting inputs",'Data extraction-synthesis'!J45)),"X","")</f>
        <v/>
      </c>
      <c r="I46" s="20" t="str">
        <f>IF(ISNUMBER(SEARCH("Available data",'Data extraction-synthesis'!J45)),"X","")</f>
        <v/>
      </c>
      <c r="J46" s="20" t="str">
        <f>IF(ISNUMBER(SEARCH("Field observations",'Data extraction-synthesis'!J45)),"X","")</f>
        <v/>
      </c>
      <c r="K46" s="20" t="str">
        <f>IF(ISNUMBER(SEARCH("Laboratory evaluations",'Data extraction-synthesis'!J45)),"X","")</f>
        <v/>
      </c>
      <c r="L46" s="20" t="str">
        <f>IF(ISNUMBER(SEARCH("Models",'Data extraction-synthesis'!J45)),"X","")</f>
        <v/>
      </c>
      <c r="M46" s="20" t="str">
        <f>IF(ISNUMBER(SEARCH("Early usability studies",'Data extraction-synthesis'!J45)),"X","")</f>
        <v/>
      </c>
      <c r="N46" s="20" t="str">
        <f>IF(ISNUMBER(SEARCH("No input sources reported",'Data extraction-synthesis'!J45)),"X","")</f>
        <v>X</v>
      </c>
      <c r="O46" s="20" t="str">
        <f>IF(ISNUMBER(SEARCH("N/A",'Data extraction-synthesis'!J45)),"X","")</f>
        <v/>
      </c>
      <c r="P46" s="9" t="str">
        <f t="shared" si="0"/>
        <v>N/A</v>
      </c>
    </row>
    <row r="47" spans="2:15" ht="15.75">
      <c r="B47" s="23" t="s">
        <v>180</v>
      </c>
      <c r="C47" s="20">
        <f aca="true" t="shared" si="1" ref="C47:O47">COUNTIF(C3:C46,"X")</f>
        <v>12</v>
      </c>
      <c r="D47" s="20">
        <f t="shared" si="1"/>
        <v>0</v>
      </c>
      <c r="E47" s="20">
        <f t="shared" si="1"/>
        <v>0</v>
      </c>
      <c r="F47" s="20">
        <f t="shared" si="1"/>
        <v>0</v>
      </c>
      <c r="G47" s="20">
        <f t="shared" si="1"/>
        <v>4</v>
      </c>
      <c r="H47" s="20">
        <f t="shared" si="1"/>
        <v>0</v>
      </c>
      <c r="I47" s="20">
        <f t="shared" si="1"/>
        <v>2</v>
      </c>
      <c r="J47" s="20">
        <f t="shared" si="1"/>
        <v>0</v>
      </c>
      <c r="K47" s="20">
        <f t="shared" si="1"/>
        <v>1</v>
      </c>
      <c r="L47" s="20">
        <f t="shared" si="1"/>
        <v>2</v>
      </c>
      <c r="M47" s="20">
        <f t="shared" si="1"/>
        <v>1</v>
      </c>
      <c r="N47" s="20">
        <f t="shared" si="1"/>
        <v>18</v>
      </c>
      <c r="O47" s="20">
        <f t="shared" si="1"/>
        <v>9</v>
      </c>
    </row>
    <row r="48" spans="1:15" ht="15.75">
      <c r="A48" s="56"/>
      <c r="C48" s="28">
        <f aca="true" t="shared" si="2" ref="C48:O48">C47/44</f>
        <v>0.2727272727272727</v>
      </c>
      <c r="D48" s="28">
        <f t="shared" si="2"/>
        <v>0</v>
      </c>
      <c r="E48" s="28">
        <f t="shared" si="2"/>
        <v>0</v>
      </c>
      <c r="F48" s="28">
        <f t="shared" si="2"/>
        <v>0</v>
      </c>
      <c r="G48" s="28">
        <f t="shared" si="2"/>
        <v>0.09090909090909091</v>
      </c>
      <c r="H48" s="28">
        <f t="shared" si="2"/>
        <v>0</v>
      </c>
      <c r="I48" s="28">
        <f t="shared" si="2"/>
        <v>0.045454545454545456</v>
      </c>
      <c r="J48" s="28">
        <f t="shared" si="2"/>
        <v>0</v>
      </c>
      <c r="K48" s="28">
        <f t="shared" si="2"/>
        <v>0.022727272727272728</v>
      </c>
      <c r="L48" s="28">
        <f t="shared" si="2"/>
        <v>0.045454545454545456</v>
      </c>
      <c r="M48" s="28">
        <f t="shared" si="2"/>
        <v>0.022727272727272728</v>
      </c>
      <c r="N48" s="28">
        <f t="shared" si="2"/>
        <v>0.4090909090909091</v>
      </c>
      <c r="O48" s="28">
        <f t="shared" si="2"/>
        <v>0.20454545454545456</v>
      </c>
    </row>
  </sheetData>
  <sheetProtection sheet="1" objects="1" scenarios="1"/>
  <mergeCells count="1">
    <mergeCell ref="C1:O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56"/>
  <sheetViews>
    <sheetView zoomScale="70" zoomScaleNormal="70" workbookViewId="0" topLeftCell="A1">
      <pane xSplit="2" ySplit="2" topLeftCell="C42" activePane="bottomRight" state="frozen"/>
      <selection pane="topRight" activeCell="B1" sqref="B1"/>
      <selection pane="bottomLeft" activeCell="A3" sqref="A3"/>
      <selection pane="bottomRight" activeCell="C47" sqref="C47:O47"/>
    </sheetView>
  </sheetViews>
  <sheetFormatPr defaultColWidth="9.00390625" defaultRowHeight="15.75"/>
  <cols>
    <col min="1" max="1" width="13.625" style="0" customWidth="1"/>
    <col min="2" max="2" width="16.875" style="0" customWidth="1"/>
  </cols>
  <sheetData>
    <row r="1" spans="3:15" ht="48" customHeight="1">
      <c r="C1" s="191" t="s">
        <v>448</v>
      </c>
      <c r="D1" s="192"/>
      <c r="E1" s="192"/>
      <c r="F1" s="192"/>
      <c r="G1" s="192"/>
      <c r="H1" s="192"/>
      <c r="I1" s="192"/>
      <c r="J1" s="192"/>
      <c r="K1" s="192"/>
      <c r="L1" s="192"/>
      <c r="M1" s="192"/>
      <c r="N1" s="192"/>
      <c r="O1" s="192"/>
    </row>
    <row r="2" spans="1:20" ht="72">
      <c r="A2" s="87" t="s">
        <v>447</v>
      </c>
      <c r="B2" s="87" t="s">
        <v>2</v>
      </c>
      <c r="C2" s="88" t="s">
        <v>29</v>
      </c>
      <c r="D2" s="89" t="s">
        <v>109</v>
      </c>
      <c r="E2" s="89" t="s">
        <v>113</v>
      </c>
      <c r="F2" s="89" t="s">
        <v>96</v>
      </c>
      <c r="G2" s="89" t="s">
        <v>157</v>
      </c>
      <c r="H2" s="89" t="s">
        <v>15</v>
      </c>
      <c r="I2" s="89" t="s">
        <v>122</v>
      </c>
      <c r="J2" s="89" t="s">
        <v>158</v>
      </c>
      <c r="K2" s="89" t="s">
        <v>129</v>
      </c>
      <c r="L2" s="89" t="s">
        <v>131</v>
      </c>
      <c r="M2" s="89" t="s">
        <v>135</v>
      </c>
      <c r="N2" s="89" t="s">
        <v>206</v>
      </c>
      <c r="O2" s="89" t="s">
        <v>207</v>
      </c>
      <c r="R2" s="8" t="s">
        <v>177</v>
      </c>
      <c r="S2" s="8" t="s">
        <v>178</v>
      </c>
      <c r="T2" s="8" t="s">
        <v>179</v>
      </c>
    </row>
    <row r="3" spans="1:20" ht="53.4">
      <c r="A3" s="56" t="s">
        <v>11</v>
      </c>
      <c r="B3" s="19" t="s">
        <v>12</v>
      </c>
      <c r="C3" s="20" t="str">
        <f>IF(ISNUMBER(SEARCH("Literature",'Data extraction-synthesis'!J2)),"X","")</f>
        <v/>
      </c>
      <c r="D3" s="20" t="str">
        <f>IF(ISNUMBER(SEARCH("Industry standard",'Data extraction-synthesis'!J2)),"X","")</f>
        <v/>
      </c>
      <c r="E3" s="20" t="str">
        <f>IF(ISNUMBER(SEARCH("Guidelines",'Data extraction-synthesis'!J2)),"X","")</f>
        <v/>
      </c>
      <c r="F3" s="20" t="str">
        <f>IF(ISNUMBER(SEARCH("Interviews with experts",'Data extraction-synthesis'!J2)),"X","")</f>
        <v/>
      </c>
      <c r="G3" s="20" t="str">
        <f>IF(ISNUMBER(SEARCH("Surveys with experts/expert opinion",'Data extraction-synthesis'!J2)),"X","")</f>
        <v/>
      </c>
      <c r="H3" s="20" t="str">
        <f>IF(ISNUMBER(SEARCH("Consensus meeting inputs",'Data extraction-synthesis'!J2)),"X","")</f>
        <v/>
      </c>
      <c r="I3" s="20" t="str">
        <f>IF(ISNUMBER(SEARCH("Available data",'Data extraction-synthesis'!J2)),"X","")</f>
        <v/>
      </c>
      <c r="J3" s="20" t="str">
        <f>IF(ISNUMBER(SEARCH("Field observations",'Data extraction-synthesis'!J2)),"X","")</f>
        <v/>
      </c>
      <c r="K3" s="20" t="str">
        <f>IF(ISNUMBER(SEARCH("Laboratory evaluations",'Data extraction-synthesis'!J2)),"X","")</f>
        <v/>
      </c>
      <c r="L3" s="20" t="str">
        <f>IF(ISNUMBER(SEARCH("Models",'Data extraction-synthesis'!J2)),"X","")</f>
        <v/>
      </c>
      <c r="M3" s="20" t="str">
        <f>IF(ISNUMBER(SEARCH("Early usability studies",'Data extraction-synthesis'!J2)),"X","")</f>
        <v/>
      </c>
      <c r="N3" s="20" t="str">
        <f>IF(ISNUMBER(SEARCH("No input sources reported",'Data extraction-synthesis'!J2)),"X","")</f>
        <v>X</v>
      </c>
      <c r="O3" s="20" t="str">
        <f>IF(ISNUMBER(SEARCH("N/A",'Data extraction-synthesis'!J2)),"X","")</f>
        <v/>
      </c>
      <c r="R3" s="9" t="str">
        <f aca="true" t="shared" si="0" ref="R3:R46">IF(OR(O3="X",N3="X"),"N/A",IF((COUNTIF(C3:O3,"X"))&gt;1,"YES","NO"))</f>
        <v>N/A</v>
      </c>
      <c r="S3" s="21">
        <f>COUNTIF(R3:R46,"NO")/44</f>
        <v>0.22727272727272727</v>
      </c>
      <c r="T3" s="21">
        <f>COUNTIF(R3:R46,"YES")/44</f>
        <v>0.18181818181818182</v>
      </c>
    </row>
    <row r="4" spans="1:18" ht="93">
      <c r="A4" s="56" t="s">
        <v>19</v>
      </c>
      <c r="B4" s="19" t="s">
        <v>20</v>
      </c>
      <c r="C4" s="20" t="str">
        <f>IF(ISNUMBER(SEARCH("Literature",'Data extraction-synthesis'!J3)),"X","")</f>
        <v>X</v>
      </c>
      <c r="D4" s="20" t="str">
        <f>IF(ISNUMBER(SEARCH("Industry standard",'Data extraction-synthesis'!J3)),"X","")</f>
        <v/>
      </c>
      <c r="E4" s="20" t="str">
        <f>IF(ISNUMBER(SEARCH("Guidelines",'Data extraction-synthesis'!J3)),"X","")</f>
        <v/>
      </c>
      <c r="F4" s="20" t="str">
        <f>IF(ISNUMBER(SEARCH("Interviews with experts",'Data extraction-synthesis'!J3)),"X","")</f>
        <v/>
      </c>
      <c r="G4" s="20" t="str">
        <f>IF(ISNUMBER(SEARCH("Surveys with experts/expert opinion",'Data extraction-synthesis'!J3)),"X","")</f>
        <v/>
      </c>
      <c r="H4" s="20" t="str">
        <f>IF(ISNUMBER(SEARCH("Consensus meeting inputs",'Data extraction-synthesis'!J3)),"X","")</f>
        <v/>
      </c>
      <c r="I4" s="20" t="str">
        <f>IF(ISNUMBER(SEARCH("Available data",'Data extraction-synthesis'!J3)),"X","")</f>
        <v/>
      </c>
      <c r="J4" s="20" t="str">
        <f>IF(ISNUMBER(SEARCH("Field observations",'Data extraction-synthesis'!J3)),"X","")</f>
        <v/>
      </c>
      <c r="K4" s="20" t="str">
        <f>IF(ISNUMBER(SEARCH("Laboratory evaluations",'Data extraction-synthesis'!J3)),"X","")</f>
        <v/>
      </c>
      <c r="L4" s="20" t="str">
        <f>IF(ISNUMBER(SEARCH("Models",'Data extraction-synthesis'!J3)),"X","")</f>
        <v>X</v>
      </c>
      <c r="M4" s="20" t="str">
        <f>IF(ISNUMBER(SEARCH("Early usability studies",'Data extraction-synthesis'!J3)),"X","")</f>
        <v/>
      </c>
      <c r="N4" s="20" t="str">
        <f>IF(ISNUMBER(SEARCH("No input sources reported",'Data extraction-synthesis'!J3)),"X","")</f>
        <v/>
      </c>
      <c r="O4" s="20" t="str">
        <f>IF(ISNUMBER(SEARCH("N/A",'Data extraction-synthesis'!J3)),"X","")</f>
        <v/>
      </c>
      <c r="R4" s="9" t="str">
        <f t="shared" si="0"/>
        <v>YES</v>
      </c>
    </row>
    <row r="5" spans="1:18" ht="53.4">
      <c r="A5" s="56" t="s">
        <v>22</v>
      </c>
      <c r="B5" s="19" t="s">
        <v>23</v>
      </c>
      <c r="C5" s="20" t="str">
        <f>IF(ISNUMBER(SEARCH("Literature",'Data extraction-synthesis'!J4)),"X","")</f>
        <v>X</v>
      </c>
      <c r="D5" s="20" t="str">
        <f>IF(ISNUMBER(SEARCH("Industry standard",'Data extraction-synthesis'!J4)),"X","")</f>
        <v/>
      </c>
      <c r="E5" s="20" t="str">
        <f>IF(ISNUMBER(SEARCH("Guidelines",'Data extraction-synthesis'!J4)),"X","")</f>
        <v/>
      </c>
      <c r="F5" s="20" t="str">
        <f>IF(ISNUMBER(SEARCH("Interviews with experts",'Data extraction-synthesis'!J4)),"X","")</f>
        <v/>
      </c>
      <c r="G5" s="20" t="str">
        <f>IF(ISNUMBER(SEARCH("Surveys with experts/expert opinion",'Data extraction-synthesis'!J4)),"X","")</f>
        <v/>
      </c>
      <c r="H5" s="20" t="str">
        <f>IF(ISNUMBER(SEARCH("Consensus meeting inputs",'Data extraction-synthesis'!J4)),"X","")</f>
        <v/>
      </c>
      <c r="I5" s="20" t="str">
        <f>IF(ISNUMBER(SEARCH("Available data",'Data extraction-synthesis'!J4)),"X","")</f>
        <v/>
      </c>
      <c r="J5" s="20" t="str">
        <f>IF(ISNUMBER(SEARCH("Field observations",'Data extraction-synthesis'!J4)),"X","")</f>
        <v/>
      </c>
      <c r="K5" s="20" t="str">
        <f>IF(ISNUMBER(SEARCH("Laboratory evaluations",'Data extraction-synthesis'!J4)),"X","")</f>
        <v/>
      </c>
      <c r="L5" s="20" t="str">
        <f>IF(ISNUMBER(SEARCH("Models",'Data extraction-synthesis'!J4)),"X","")</f>
        <v>X</v>
      </c>
      <c r="M5" s="20" t="str">
        <f>IF(ISNUMBER(SEARCH("Early usability studies",'Data extraction-synthesis'!J4)),"X","")</f>
        <v/>
      </c>
      <c r="N5" s="20" t="str">
        <f>IF(ISNUMBER(SEARCH("No input sources reported",'Data extraction-synthesis'!J4)),"X","")</f>
        <v/>
      </c>
      <c r="O5" s="20" t="str">
        <f>IF(ISNUMBER(SEARCH("N/A",'Data extraction-synthesis'!J4)),"X","")</f>
        <v/>
      </c>
      <c r="R5" s="9" t="str">
        <f t="shared" si="0"/>
        <v>YES</v>
      </c>
    </row>
    <row r="6" spans="1:18" ht="93">
      <c r="A6" s="56" t="s">
        <v>25</v>
      </c>
      <c r="B6" s="19" t="s">
        <v>26</v>
      </c>
      <c r="C6" s="20"/>
      <c r="D6" s="20" t="str">
        <f>IF(ISNUMBER(SEARCH("Industry standard",'Data extraction-synthesis'!J5)),"X","")</f>
        <v/>
      </c>
      <c r="E6" s="20" t="str">
        <f>IF(ISNUMBER(SEARCH("Guidelines",'Data extraction-synthesis'!J5)),"X","")</f>
        <v/>
      </c>
      <c r="F6" s="20" t="str">
        <f>IF(ISNUMBER(SEARCH("Interviews with experts",'Data extraction-synthesis'!J5)),"X","")</f>
        <v/>
      </c>
      <c r="G6" s="20"/>
      <c r="H6" s="20" t="str">
        <f>IF(ISNUMBER(SEARCH("Consensus meeting inputs",'Data extraction-synthesis'!J5)),"X","")</f>
        <v/>
      </c>
      <c r="I6" s="20" t="str">
        <f>IF(ISNUMBER(SEARCH("Available data",'Data extraction-synthesis'!J5)),"X","")</f>
        <v/>
      </c>
      <c r="J6" s="20" t="str">
        <f>IF(ISNUMBER(SEARCH("Field observations",'Data extraction-synthesis'!J5)),"X","")</f>
        <v/>
      </c>
      <c r="K6" s="20" t="str">
        <f>IF(ISNUMBER(SEARCH("Laboratory evaluations",'Data extraction-synthesis'!J5)),"X","")</f>
        <v/>
      </c>
      <c r="L6" s="20" t="str">
        <f>IF(ISNUMBER(SEARCH("Models",'Data extraction-synthesis'!J5)),"X","")</f>
        <v/>
      </c>
      <c r="M6" s="20" t="str">
        <f>IF(ISNUMBER(SEARCH("Early usability studies",'Data extraction-synthesis'!J5)),"X","")</f>
        <v/>
      </c>
      <c r="N6" s="82" t="s">
        <v>198</v>
      </c>
      <c r="O6" s="20" t="str">
        <f>IF(ISNUMBER(SEARCH("N/A",'Data extraction-synthesis'!J5)),"X","")</f>
        <v/>
      </c>
      <c r="R6" s="9" t="str">
        <f t="shared" si="0"/>
        <v>N/A</v>
      </c>
    </row>
    <row r="7" spans="1:18" ht="93">
      <c r="A7" s="56" t="s">
        <v>31</v>
      </c>
      <c r="B7" s="19" t="s">
        <v>32</v>
      </c>
      <c r="C7" s="20" t="str">
        <f>IF(ISNUMBER(SEARCH("Literature",'Data extraction-synthesis'!J6)),"X","")</f>
        <v>X</v>
      </c>
      <c r="D7" s="20" t="str">
        <f>IF(ISNUMBER(SEARCH("Industry standard",'Data extraction-synthesis'!J6)),"X","")</f>
        <v/>
      </c>
      <c r="E7" s="20" t="str">
        <f>IF(ISNUMBER(SEARCH("Guidelines",'Data extraction-synthesis'!J6)),"X","")</f>
        <v/>
      </c>
      <c r="F7" s="20" t="str">
        <f>IF(ISNUMBER(SEARCH("Interviews with experts",'Data extraction-synthesis'!J6)),"X","")</f>
        <v/>
      </c>
      <c r="G7" s="20" t="str">
        <f>IF(ISNUMBER(SEARCH("Surveys with experts/expert opinion",'Data extraction-synthesis'!J6)),"X","")</f>
        <v/>
      </c>
      <c r="H7" s="20" t="str">
        <f>IF(ISNUMBER(SEARCH("Consensus meeting inputs",'Data extraction-synthesis'!J6)),"X","")</f>
        <v/>
      </c>
      <c r="I7" s="20" t="str">
        <f>IF(ISNUMBER(SEARCH("Available data",'Data extraction-synthesis'!J6)),"X","")</f>
        <v/>
      </c>
      <c r="J7" s="20" t="str">
        <f>IF(ISNUMBER(SEARCH("Field observations",'Data extraction-synthesis'!J6)),"X","")</f>
        <v/>
      </c>
      <c r="K7" s="20" t="str">
        <f>IF(ISNUMBER(SEARCH("Laboratory evaluations",'Data extraction-synthesis'!J6)),"X","")</f>
        <v/>
      </c>
      <c r="L7" s="20"/>
      <c r="M7" s="20" t="str">
        <f>IF(ISNUMBER(SEARCH("Early usability studies",'Data extraction-synthesis'!J6)),"X","")</f>
        <v/>
      </c>
      <c r="N7" s="20" t="str">
        <f>IF(ISNUMBER(SEARCH("No input sources reported",'Data extraction-synthesis'!J6)),"X","")</f>
        <v/>
      </c>
      <c r="O7" s="20" t="str">
        <f>IF(ISNUMBER(SEARCH("N/A",'Data extraction-synthesis'!J6)),"X","")</f>
        <v/>
      </c>
      <c r="R7" s="9" t="str">
        <f t="shared" si="0"/>
        <v>NO</v>
      </c>
    </row>
    <row r="8" spans="1:18" ht="159">
      <c r="A8" s="56" t="s">
        <v>34</v>
      </c>
      <c r="B8" s="19" t="s">
        <v>35</v>
      </c>
      <c r="C8" s="20" t="str">
        <f>IF(ISNUMBER(SEARCH("Literature",'Data extraction-synthesis'!J7)),"X","")</f>
        <v/>
      </c>
      <c r="D8" s="20" t="str">
        <f>IF(ISNUMBER(SEARCH("Industry standard",'Data extraction-synthesis'!J7)),"X","")</f>
        <v/>
      </c>
      <c r="E8" s="20" t="str">
        <f>IF(ISNUMBER(SEARCH("Guidelines",'Data extraction-synthesis'!J7)),"X","")</f>
        <v/>
      </c>
      <c r="F8" s="20" t="str">
        <f>IF(ISNUMBER(SEARCH("Interviews with experts",'Data extraction-synthesis'!J7)),"X","")</f>
        <v/>
      </c>
      <c r="G8" s="20" t="str">
        <f>IF(ISNUMBER(SEARCH("Surveys with experts/expert opinion",'Data extraction-synthesis'!J7)),"X","")</f>
        <v>X</v>
      </c>
      <c r="H8" s="20" t="str">
        <f>IF(ISNUMBER(SEARCH("Consensus meeting inputs",'Data extraction-synthesis'!J7)),"X","")</f>
        <v/>
      </c>
      <c r="I8" s="20" t="str">
        <f>IF(ISNUMBER(SEARCH("Available data",'Data extraction-synthesis'!J7)),"X","")</f>
        <v/>
      </c>
      <c r="J8" s="20" t="str">
        <f>IF(ISNUMBER(SEARCH("Field observations",'Data extraction-synthesis'!J7)),"X","")</f>
        <v/>
      </c>
      <c r="K8" s="20" t="str">
        <f>IF(ISNUMBER(SEARCH("Laboratory evaluations",'Data extraction-synthesis'!J7)),"X","")</f>
        <v/>
      </c>
      <c r="L8" s="20" t="str">
        <f>IF(ISNUMBER(SEARCH("Models",'Data extraction-synthesis'!J7)),"X","")</f>
        <v/>
      </c>
      <c r="M8" s="20" t="str">
        <f>IF(ISNUMBER(SEARCH("Early usability studies",'Data extraction-synthesis'!J7)),"X","")</f>
        <v/>
      </c>
      <c r="N8" s="20" t="str">
        <f>IF(ISNUMBER(SEARCH("No input sources reported",'Data extraction-synthesis'!J7)),"X","")</f>
        <v/>
      </c>
      <c r="O8" s="20" t="str">
        <f>IF(ISNUMBER(SEARCH("N/A",'Data extraction-synthesis'!J7)),"X","")</f>
        <v/>
      </c>
      <c r="R8" s="9" t="str">
        <f t="shared" si="0"/>
        <v>NO</v>
      </c>
    </row>
    <row r="9" spans="1:18" ht="93">
      <c r="A9" s="56" t="s">
        <v>55</v>
      </c>
      <c r="B9" s="19" t="s">
        <v>56</v>
      </c>
      <c r="C9" s="20" t="str">
        <f>IF(ISNUMBER(SEARCH("Literature",'Data extraction-synthesis'!J16)),"X","")</f>
        <v>X</v>
      </c>
      <c r="D9" s="20" t="str">
        <f>IF(ISNUMBER(SEARCH("Industry standard",'Data extraction-synthesis'!J16)),"X","")</f>
        <v/>
      </c>
      <c r="E9" s="20" t="str">
        <f>IF(ISNUMBER(SEARCH("Guidelines",'Data extraction-synthesis'!J16)),"X","")</f>
        <v/>
      </c>
      <c r="F9" s="20" t="str">
        <f>IF(ISNUMBER(SEARCH("Interviews with experts",'Data extraction-synthesis'!J16)),"X","")</f>
        <v/>
      </c>
      <c r="G9" s="20" t="str">
        <f>IF(ISNUMBER(SEARCH("Surveys with experts/expert opinion",'Data extraction-synthesis'!J16)),"X","")</f>
        <v>X</v>
      </c>
      <c r="H9" s="20" t="str">
        <f>IF(ISNUMBER(SEARCH("Consensus meeting inputs",'Data extraction-synthesis'!J16)),"X","")</f>
        <v/>
      </c>
      <c r="I9" s="20" t="str">
        <f>IF(ISNUMBER(SEARCH("Available data",'Data extraction-synthesis'!J16)),"X","")</f>
        <v/>
      </c>
      <c r="J9" s="20" t="str">
        <f>IF(ISNUMBER(SEARCH("Field observations",'Data extraction-synthesis'!J16)),"X","")</f>
        <v/>
      </c>
      <c r="K9" s="20" t="str">
        <f>IF(ISNUMBER(SEARCH("Laboratory evaluations",'Data extraction-synthesis'!J16)),"X","")</f>
        <v/>
      </c>
      <c r="L9" s="20" t="str">
        <f>IF(ISNUMBER(SEARCH("Models",'Data extraction-synthesis'!J16)),"X","")</f>
        <v/>
      </c>
      <c r="M9" s="20" t="str">
        <f>IF(ISNUMBER(SEARCH("Early usability studies",'Data extraction-synthesis'!J16)),"X","")</f>
        <v/>
      </c>
      <c r="N9" s="20" t="str">
        <f>IF(ISNUMBER(SEARCH("No input sources reported",'Data extraction-synthesis'!J16)),"X","")</f>
        <v/>
      </c>
      <c r="O9" s="20" t="str">
        <f>IF(ISNUMBER(SEARCH("N/A",'Data extraction-synthesis'!J16)),"X","")</f>
        <v/>
      </c>
      <c r="R9" s="9" t="str">
        <f t="shared" si="0"/>
        <v>YES</v>
      </c>
    </row>
    <row r="10" spans="1:18" ht="93">
      <c r="A10" s="56" t="s">
        <v>94</v>
      </c>
      <c r="B10" s="19" t="s">
        <v>95</v>
      </c>
      <c r="C10" s="20" t="str">
        <f>IF(ISNUMBER(SEARCH("Literature",'Data extraction-synthesis'!J40)),"X","")</f>
        <v/>
      </c>
      <c r="D10" s="20" t="str">
        <f>IF(ISNUMBER(SEARCH("Industry standard",'Data extraction-synthesis'!J40)),"X","")</f>
        <v/>
      </c>
      <c r="E10" s="20" t="str">
        <f>IF(ISNUMBER(SEARCH("Guidelines",'Data extraction-synthesis'!J40)),"X","")</f>
        <v/>
      </c>
      <c r="F10" s="20" t="str">
        <f>IF(ISNUMBER(SEARCH("Interviews with experts",'Data extraction-synthesis'!J40)),"X","")</f>
        <v/>
      </c>
      <c r="G10" s="20" t="str">
        <f>IF(ISNUMBER(SEARCH("Surveys with experts/expert opinion",'Data extraction-synthesis'!J40)),"X","")</f>
        <v/>
      </c>
      <c r="H10" s="20" t="str">
        <f>IF(ISNUMBER(SEARCH("Consensus meeting inputs",'Data extraction-synthesis'!J40)),"X","")</f>
        <v/>
      </c>
      <c r="I10" s="20" t="str">
        <f>IF(ISNUMBER(SEARCH("Available data",'Data extraction-synthesis'!J40)),"X","")</f>
        <v/>
      </c>
      <c r="J10" s="20" t="str">
        <f>IF(ISNUMBER(SEARCH("Field observations",'Data extraction-synthesis'!J40)),"X","")</f>
        <v/>
      </c>
      <c r="K10" s="20" t="str">
        <f>IF(ISNUMBER(SEARCH("Laboratory evaluations",'Data extraction-synthesis'!J40)),"X","")</f>
        <v/>
      </c>
      <c r="L10" s="20" t="str">
        <f>IF(ISNUMBER(SEARCH("Models",'Data extraction-synthesis'!J40)),"X","")</f>
        <v/>
      </c>
      <c r="M10" s="20" t="str">
        <f>IF(ISNUMBER(SEARCH("Early usability studies",'Data extraction-synthesis'!J40)),"X","")</f>
        <v/>
      </c>
      <c r="N10" s="20" t="str">
        <f>IF(ISNUMBER(SEARCH("No input sources reported",'Data extraction-synthesis'!J40)),"X","")</f>
        <v/>
      </c>
      <c r="O10" s="20" t="str">
        <f>IF(ISNUMBER(SEARCH("N/A",'Data extraction-synthesis'!J40)),"X","")</f>
        <v>X</v>
      </c>
      <c r="R10" s="9" t="str">
        <f t="shared" si="0"/>
        <v>N/A</v>
      </c>
    </row>
    <row r="11" spans="1:18" ht="53.4">
      <c r="A11" s="56" t="s">
        <v>58</v>
      </c>
      <c r="B11" s="19" t="s">
        <v>59</v>
      </c>
      <c r="C11" s="20" t="str">
        <f>IF(ISNUMBER(SEARCH("Literature",'Data extraction-synthesis'!J17)),"X","")</f>
        <v/>
      </c>
      <c r="D11" s="20" t="str">
        <f>IF(ISNUMBER(SEARCH("Industry standard",'Data extraction-synthesis'!J17)),"X","")</f>
        <v/>
      </c>
      <c r="E11" s="20" t="str">
        <f>IF(ISNUMBER(SEARCH("Guidelines",'Data extraction-synthesis'!J17)),"X","")</f>
        <v/>
      </c>
      <c r="F11" s="20" t="str">
        <f>IF(ISNUMBER(SEARCH("Interviews with experts",'Data extraction-synthesis'!J17)),"X","")</f>
        <v/>
      </c>
      <c r="G11" s="20" t="str">
        <f>IF(ISNUMBER(SEARCH("Surveys with experts/expert opinion",'Data extraction-synthesis'!J17)),"X","")</f>
        <v/>
      </c>
      <c r="H11" s="20" t="str">
        <f>IF(ISNUMBER(SEARCH("Consensus meeting inputs",'Data extraction-synthesis'!J17)),"X","")</f>
        <v/>
      </c>
      <c r="I11" s="20" t="str">
        <f>IF(ISNUMBER(SEARCH("Available data",'Data extraction-synthesis'!J17)),"X","")</f>
        <v/>
      </c>
      <c r="J11" s="20" t="str">
        <f>IF(ISNUMBER(SEARCH("Field observations",'Data extraction-synthesis'!J17)),"X","")</f>
        <v/>
      </c>
      <c r="K11" s="20" t="str">
        <f>IF(ISNUMBER(SEARCH("Laboratory evaluations",'Data extraction-synthesis'!J17)),"X","")</f>
        <v/>
      </c>
      <c r="L11" s="20" t="str">
        <f>IF(ISNUMBER(SEARCH("Models",'Data extraction-synthesis'!J17)),"X","")</f>
        <v/>
      </c>
      <c r="M11" s="20" t="str">
        <f>IF(ISNUMBER(SEARCH("Early usability studies",'Data extraction-synthesis'!J17)),"X","")</f>
        <v/>
      </c>
      <c r="N11" s="20" t="str">
        <f>IF(ISNUMBER(SEARCH("No input sources reported",'Data extraction-synthesis'!J17)),"X","")</f>
        <v>X</v>
      </c>
      <c r="O11" s="20" t="str">
        <f>IF(ISNUMBER(SEARCH("N/A",'Data extraction-synthesis'!J17)),"X","")</f>
        <v/>
      </c>
      <c r="R11" s="9" t="str">
        <f t="shared" si="0"/>
        <v>N/A</v>
      </c>
    </row>
    <row r="12" spans="1:18" ht="106.2">
      <c r="A12" s="56" t="s">
        <v>58</v>
      </c>
      <c r="B12" s="19" t="s">
        <v>60</v>
      </c>
      <c r="C12" s="20" t="str">
        <f>IF(ISNUMBER(SEARCH("Literature",'Data extraction-synthesis'!J18)),"X","")</f>
        <v/>
      </c>
      <c r="D12" s="20" t="str">
        <f>IF(ISNUMBER(SEARCH("Industry standard",'Data extraction-synthesis'!J18)),"X","")</f>
        <v/>
      </c>
      <c r="E12" s="20" t="str">
        <f>IF(ISNUMBER(SEARCH("Guidelines",'Data extraction-synthesis'!J18)),"X","")</f>
        <v/>
      </c>
      <c r="F12" s="20" t="str">
        <f>IF(ISNUMBER(SEARCH("Interviews with experts",'Data extraction-synthesis'!J18)),"X","")</f>
        <v/>
      </c>
      <c r="G12" s="20" t="str">
        <f>IF(ISNUMBER(SEARCH("Surveys with experts/expert opinion",'Data extraction-synthesis'!J18)),"X","")</f>
        <v/>
      </c>
      <c r="H12" s="20" t="str">
        <f>IF(ISNUMBER(SEARCH("Consensus meeting inputs",'Data extraction-synthesis'!J18)),"X","")</f>
        <v/>
      </c>
      <c r="I12" s="20" t="str">
        <f>IF(ISNUMBER(SEARCH("Available data",'Data extraction-synthesis'!J18)),"X","")</f>
        <v/>
      </c>
      <c r="J12" s="20" t="str">
        <f>IF(ISNUMBER(SEARCH("Field observations",'Data extraction-synthesis'!J18)),"X","")</f>
        <v/>
      </c>
      <c r="K12" s="20" t="str">
        <f>IF(ISNUMBER(SEARCH("Laboratory evaluations",'Data extraction-synthesis'!J18)),"X","")</f>
        <v/>
      </c>
      <c r="L12" s="20" t="str">
        <f>IF(ISNUMBER(SEARCH("Models",'Data extraction-synthesis'!J18)),"X","")</f>
        <v/>
      </c>
      <c r="M12" s="20" t="str">
        <f>IF(ISNUMBER(SEARCH("Early usability studies",'Data extraction-synthesis'!J18)),"X","")</f>
        <v/>
      </c>
      <c r="N12" s="20" t="str">
        <f>IF(ISNUMBER(SEARCH("No input sources reported",'Data extraction-synthesis'!J18)),"X","")</f>
        <v>X</v>
      </c>
      <c r="O12" s="20" t="str">
        <f>IF(ISNUMBER(SEARCH("N/A",'Data extraction-synthesis'!J18)),"X","")</f>
        <v/>
      </c>
      <c r="R12" s="9" t="str">
        <f t="shared" si="0"/>
        <v>N/A</v>
      </c>
    </row>
    <row r="13" spans="1:18" ht="79.8">
      <c r="A13" s="56" t="s">
        <v>58</v>
      </c>
      <c r="B13" s="19" t="s">
        <v>98</v>
      </c>
      <c r="C13" s="20" t="str">
        <f>IF(ISNUMBER(SEARCH("Literature",'Data extraction-synthesis'!J41)),"X","")</f>
        <v/>
      </c>
      <c r="D13" s="20" t="str">
        <f>IF(ISNUMBER(SEARCH("Industry standard",'Data extraction-synthesis'!J41)),"X","")</f>
        <v/>
      </c>
      <c r="E13" s="20" t="str">
        <f>IF(ISNUMBER(SEARCH("Guidelines",'Data extraction-synthesis'!J41)),"X","")</f>
        <v/>
      </c>
      <c r="F13" s="20" t="str">
        <f>IF(ISNUMBER(SEARCH("Interviews with experts",'Data extraction-synthesis'!J41)),"X","")</f>
        <v/>
      </c>
      <c r="G13" s="20" t="str">
        <f>IF(ISNUMBER(SEARCH("Surveys with experts/expert opinion",'Data extraction-synthesis'!J41)),"X","")</f>
        <v/>
      </c>
      <c r="H13" s="20" t="str">
        <f>IF(ISNUMBER(SEARCH("Consensus meeting inputs",'Data extraction-synthesis'!J41)),"X","")</f>
        <v/>
      </c>
      <c r="I13" s="20" t="str">
        <f>IF(ISNUMBER(SEARCH("Available data",'Data extraction-synthesis'!J41)),"X","")</f>
        <v/>
      </c>
      <c r="J13" s="20" t="str">
        <f>IF(ISNUMBER(SEARCH("Field observations",'Data extraction-synthesis'!J41)),"X","")</f>
        <v/>
      </c>
      <c r="K13" s="20" t="str">
        <f>IF(ISNUMBER(SEARCH("Laboratory evaluations",'Data extraction-synthesis'!J41)),"X","")</f>
        <v/>
      </c>
      <c r="L13" s="20" t="str">
        <f>IF(ISNUMBER(SEARCH("Models",'Data extraction-synthesis'!J41)),"X","")</f>
        <v/>
      </c>
      <c r="M13" s="20" t="str">
        <f>IF(ISNUMBER(SEARCH("Early usability studies",'Data extraction-synthesis'!J41)),"X","")</f>
        <v/>
      </c>
      <c r="N13" s="20" t="str">
        <f>IF(ISNUMBER(SEARCH("No input sources reported",'Data extraction-synthesis'!J41)),"X","")</f>
        <v>X</v>
      </c>
      <c r="O13" s="20" t="str">
        <f>IF(ISNUMBER(SEARCH("N/A",'Data extraction-synthesis'!J41)),"X","")</f>
        <v/>
      </c>
      <c r="R13" s="9" t="str">
        <f t="shared" si="0"/>
        <v>N/A</v>
      </c>
    </row>
    <row r="14" spans="1:18" ht="106.2">
      <c r="A14" s="56" t="s">
        <v>58</v>
      </c>
      <c r="B14" s="19" t="s">
        <v>37</v>
      </c>
      <c r="C14" s="82" t="s">
        <v>198</v>
      </c>
      <c r="D14" s="20" t="str">
        <f>IF(ISNUMBER(SEARCH("Industry standard",'Data extraction-synthesis'!J8)),"X","")</f>
        <v/>
      </c>
      <c r="E14" s="20" t="str">
        <f>IF(ISNUMBER(SEARCH("Guidelines",'Data extraction-synthesis'!J8)),"X","")</f>
        <v/>
      </c>
      <c r="F14" s="20" t="str">
        <f>IF(ISNUMBER(SEARCH("Interviews with experts",'Data extraction-synthesis'!J8)),"X","")</f>
        <v/>
      </c>
      <c r="G14" s="20" t="str">
        <f>IF(ISNUMBER(SEARCH("Surveys with experts/expert opinion",'Data extraction-synthesis'!J8)),"X","")</f>
        <v>X</v>
      </c>
      <c r="H14" s="20" t="str">
        <f>IF(ISNUMBER(SEARCH("Consensus meeting inputs",'Data extraction-synthesis'!J8)),"X","")</f>
        <v/>
      </c>
      <c r="I14" s="20"/>
      <c r="J14" s="20" t="str">
        <f>IF(ISNUMBER(SEARCH("Field observations",'Data extraction-synthesis'!J8)),"X","")</f>
        <v/>
      </c>
      <c r="K14" s="20" t="str">
        <f>IF(ISNUMBER(SEARCH("Laboratory evaluations",'Data extraction-synthesis'!J8)),"X","")</f>
        <v/>
      </c>
      <c r="L14" s="20" t="str">
        <f>IF(ISNUMBER(SEARCH("Models",'Data extraction-synthesis'!J8)),"X","")</f>
        <v>X</v>
      </c>
      <c r="M14" s="20" t="str">
        <f>IF(ISNUMBER(SEARCH("Early usability studies",'Data extraction-synthesis'!J8)),"X","")</f>
        <v/>
      </c>
      <c r="N14" s="20" t="str">
        <f>IF(ISNUMBER(SEARCH("No input sources reported",'Data extraction-synthesis'!J8)),"X","")</f>
        <v/>
      </c>
      <c r="O14" s="20" t="str">
        <f>IF(ISNUMBER(SEARCH("N/A",'Data extraction-synthesis'!J8)),"X","")</f>
        <v/>
      </c>
      <c r="R14" s="9" t="str">
        <f t="shared" si="0"/>
        <v>YES</v>
      </c>
    </row>
    <row r="15" spans="1:18" ht="145.8">
      <c r="A15" s="56" t="s">
        <v>38</v>
      </c>
      <c r="B15" s="19" t="s">
        <v>39</v>
      </c>
      <c r="C15" s="20" t="str">
        <f>IF(ISNUMBER(SEARCH("Literature",'Data extraction-synthesis'!J9)),"X","")</f>
        <v>X</v>
      </c>
      <c r="D15" s="20" t="str">
        <f>IF(ISNUMBER(SEARCH("Industry standard",'Data extraction-synthesis'!J9)),"X","")</f>
        <v/>
      </c>
      <c r="E15" s="20" t="str">
        <f>IF(ISNUMBER(SEARCH("Guidelines",'Data extraction-synthesis'!J9)),"X","")</f>
        <v/>
      </c>
      <c r="F15" s="20" t="str">
        <f>IF(ISNUMBER(SEARCH("Interviews with experts",'Data extraction-synthesis'!J9)),"X","")</f>
        <v/>
      </c>
      <c r="G15" s="20" t="str">
        <f>IF(ISNUMBER(SEARCH("Surveys with experts/expert opinion",'Data extraction-synthesis'!J9)),"X","")</f>
        <v/>
      </c>
      <c r="H15" s="20" t="str">
        <f>IF(ISNUMBER(SEARCH("Consensus meeting inputs",'Data extraction-synthesis'!J9)),"X","")</f>
        <v/>
      </c>
      <c r="I15" s="20" t="str">
        <f>IF(ISNUMBER(SEARCH("Available data",'Data extraction-synthesis'!J9)),"X","")</f>
        <v/>
      </c>
      <c r="J15" s="20" t="str">
        <f>IF(ISNUMBER(SEARCH("Field observations",'Data extraction-synthesis'!J9)),"X","")</f>
        <v/>
      </c>
      <c r="K15" s="20" t="str">
        <f>IF(ISNUMBER(SEARCH("Laboratory evaluations",'Data extraction-synthesis'!J9)),"X","")</f>
        <v/>
      </c>
      <c r="L15" s="20" t="str">
        <f>IF(ISNUMBER(SEARCH("Models",'Data extraction-synthesis'!J9)),"X","")</f>
        <v/>
      </c>
      <c r="M15" s="20" t="str">
        <f>IF(ISNUMBER(SEARCH("Early usability studies",'Data extraction-synthesis'!J9)),"X","")</f>
        <v/>
      </c>
      <c r="N15" s="20" t="str">
        <f>IF(ISNUMBER(SEARCH("No input sources reported",'Data extraction-synthesis'!J9)),"X","")</f>
        <v/>
      </c>
      <c r="O15" s="20" t="str">
        <f>IF(ISNUMBER(SEARCH("N/A",'Data extraction-synthesis'!J9)),"X","")</f>
        <v/>
      </c>
      <c r="R15" s="9" t="str">
        <f t="shared" si="0"/>
        <v>NO</v>
      </c>
    </row>
    <row r="16" spans="1:18" ht="53.4">
      <c r="A16" s="56" t="s">
        <v>92</v>
      </c>
      <c r="B16" s="19" t="s">
        <v>93</v>
      </c>
      <c r="C16" s="20" t="str">
        <f>IF(ISNUMBER(SEARCH("Literature",'Data extraction-synthesis'!J39)),"X","")</f>
        <v/>
      </c>
      <c r="D16" s="20" t="str">
        <f>IF(ISNUMBER(SEARCH("Industry standard",'Data extraction-synthesis'!J39)),"X","")</f>
        <v/>
      </c>
      <c r="E16" s="20" t="str">
        <f>IF(ISNUMBER(SEARCH("Guidelines",'Data extraction-synthesis'!J39)),"X","")</f>
        <v/>
      </c>
      <c r="F16" s="20" t="str">
        <f>IF(ISNUMBER(SEARCH("Interviews with experts",'Data extraction-synthesis'!J39)),"X","")</f>
        <v/>
      </c>
      <c r="G16" s="20" t="str">
        <f>IF(ISNUMBER(SEARCH("Surveys with experts/expert opinion",'Data extraction-synthesis'!J39)),"X","")</f>
        <v/>
      </c>
      <c r="H16" s="20" t="str">
        <f>IF(ISNUMBER(SEARCH("Consensus meeting inputs",'Data extraction-synthesis'!J39)),"X","")</f>
        <v/>
      </c>
      <c r="I16" s="20" t="str">
        <f>IF(ISNUMBER(SEARCH("Available data",'Data extraction-synthesis'!J39)),"X","")</f>
        <v/>
      </c>
      <c r="J16" s="20" t="str">
        <f>IF(ISNUMBER(SEARCH("Field observations",'Data extraction-synthesis'!J39)),"X","")</f>
        <v/>
      </c>
      <c r="K16" s="20" t="str">
        <f>IF(ISNUMBER(SEARCH("Laboratory evaluations",'Data extraction-synthesis'!J39)),"X","")</f>
        <v/>
      </c>
      <c r="L16" s="20" t="str">
        <f>IF(ISNUMBER(SEARCH("Models",'Data extraction-synthesis'!J39)),"X","")</f>
        <v/>
      </c>
      <c r="M16" s="20" t="str">
        <f>IF(ISNUMBER(SEARCH("Early usability studies",'Data extraction-synthesis'!J39)),"X","")</f>
        <v/>
      </c>
      <c r="N16" s="20" t="str">
        <f>IF(ISNUMBER(SEARCH("No input sources reported",'Data extraction-synthesis'!J39)),"X","")</f>
        <v>X</v>
      </c>
      <c r="O16" s="20" t="str">
        <f>IF(ISNUMBER(SEARCH("N/A",'Data extraction-synthesis'!J39)),"X","")</f>
        <v/>
      </c>
      <c r="R16" s="9" t="str">
        <f t="shared" si="0"/>
        <v>N/A</v>
      </c>
    </row>
    <row r="17" spans="1:18" ht="53.4">
      <c r="A17" s="56" t="s">
        <v>86</v>
      </c>
      <c r="B17" s="19" t="s">
        <v>87</v>
      </c>
      <c r="C17" s="20" t="str">
        <f>IF(ISNUMBER(SEARCH("Literature",'Data extraction-synthesis'!J36)),"X","")</f>
        <v/>
      </c>
      <c r="D17" s="20" t="str">
        <f>IF(ISNUMBER(SEARCH("Industry standard",'Data extraction-synthesis'!J36)),"X","")</f>
        <v/>
      </c>
      <c r="E17" s="20" t="str">
        <f>IF(ISNUMBER(SEARCH("Guidelines",'Data extraction-synthesis'!J36)),"X","")</f>
        <v/>
      </c>
      <c r="F17" s="20" t="str">
        <f>IF(ISNUMBER(SEARCH("Interviews with experts",'Data extraction-synthesis'!J36)),"X","")</f>
        <v/>
      </c>
      <c r="G17" s="20" t="str">
        <f>IF(ISNUMBER(SEARCH("Surveys with experts/expert opinion",'Data extraction-synthesis'!J36)),"X","")</f>
        <v/>
      </c>
      <c r="H17" s="20" t="str">
        <f>IF(ISNUMBER(SEARCH("Consensus meeting inputs",'Data extraction-synthesis'!J36)),"X","")</f>
        <v/>
      </c>
      <c r="I17" s="20" t="str">
        <f>IF(ISNUMBER(SEARCH("Available data",'Data extraction-synthesis'!J36)),"X","")</f>
        <v/>
      </c>
      <c r="J17" s="20" t="str">
        <f>IF(ISNUMBER(SEARCH("Field observations",'Data extraction-synthesis'!J36)),"X","")</f>
        <v/>
      </c>
      <c r="K17" s="20" t="str">
        <f>IF(ISNUMBER(SEARCH("Laboratory evaluations",'Data extraction-synthesis'!J36)),"X","")</f>
        <v/>
      </c>
      <c r="L17" s="20" t="str">
        <f>IF(ISNUMBER(SEARCH("Models",'Data extraction-synthesis'!J36)),"X","")</f>
        <v/>
      </c>
      <c r="M17" s="20" t="str">
        <f>IF(ISNUMBER(SEARCH("Early usability studies",'Data extraction-synthesis'!J36)),"X","")</f>
        <v/>
      </c>
      <c r="N17" s="20" t="str">
        <f>IF(ISNUMBER(SEARCH("No input sources reported",'Data extraction-synthesis'!J36)),"X","")</f>
        <v>X</v>
      </c>
      <c r="O17" s="20" t="str">
        <f>IF(ISNUMBER(SEARCH("N/A",'Data extraction-synthesis'!J36)),"X","")</f>
        <v/>
      </c>
      <c r="R17" s="9" t="str">
        <f t="shared" si="0"/>
        <v>N/A</v>
      </c>
    </row>
    <row r="18" spans="1:18" ht="40.2">
      <c r="A18" s="56" t="s">
        <v>86</v>
      </c>
      <c r="B18" s="19" t="s">
        <v>90</v>
      </c>
      <c r="C18" s="20" t="str">
        <f>IF(ISNUMBER(SEARCH("Literature",'Data extraction-synthesis'!J37)),"X","")</f>
        <v/>
      </c>
      <c r="D18" s="20" t="str">
        <f>IF(ISNUMBER(SEARCH("Industry standard",'Data extraction-synthesis'!J37)),"X","")</f>
        <v/>
      </c>
      <c r="E18" s="20" t="str">
        <f>IF(ISNUMBER(SEARCH("Guidelines",'Data extraction-synthesis'!J37)),"X","")</f>
        <v/>
      </c>
      <c r="F18" s="20" t="str">
        <f>IF(ISNUMBER(SEARCH("Interviews with experts",'Data extraction-synthesis'!J37)),"X","")</f>
        <v/>
      </c>
      <c r="G18" s="20" t="str">
        <f>IF(ISNUMBER(SEARCH("Surveys with experts/expert opinion",'Data extraction-synthesis'!J37)),"X","")</f>
        <v/>
      </c>
      <c r="H18" s="20" t="str">
        <f>IF(ISNUMBER(SEARCH("Consensus meeting inputs",'Data extraction-synthesis'!J37)),"X","")</f>
        <v/>
      </c>
      <c r="I18" s="20" t="str">
        <f>IF(ISNUMBER(SEARCH("Available data",'Data extraction-synthesis'!J37)),"X","")</f>
        <v/>
      </c>
      <c r="J18" s="20" t="str">
        <f>IF(ISNUMBER(SEARCH("Field observations",'Data extraction-synthesis'!J37)),"X","")</f>
        <v/>
      </c>
      <c r="K18" s="20" t="str">
        <f>IF(ISNUMBER(SEARCH("Laboratory evaluations",'Data extraction-synthesis'!J37)),"X","")</f>
        <v/>
      </c>
      <c r="L18" s="20" t="str">
        <f>IF(ISNUMBER(SEARCH("Models",'Data extraction-synthesis'!J37)),"X","")</f>
        <v/>
      </c>
      <c r="M18" s="20" t="str">
        <f>IF(ISNUMBER(SEARCH("Early usability studies",'Data extraction-synthesis'!J37)),"X","")</f>
        <v/>
      </c>
      <c r="N18" s="20" t="str">
        <f>IF(ISNUMBER(SEARCH("No input sources reported",'Data extraction-synthesis'!J37)),"X","")</f>
        <v>X</v>
      </c>
      <c r="O18" s="20" t="str">
        <f>IF(ISNUMBER(SEARCH("N/A",'Data extraction-synthesis'!J37)),"X","")</f>
        <v/>
      </c>
      <c r="R18" s="9" t="str">
        <f t="shared" si="0"/>
        <v>N/A</v>
      </c>
    </row>
    <row r="19" spans="1:18" ht="40.2">
      <c r="A19" s="56" t="s">
        <v>86</v>
      </c>
      <c r="B19" s="19" t="s">
        <v>91</v>
      </c>
      <c r="C19" s="20" t="str">
        <f>IF(ISNUMBER(SEARCH("Literature",'Data extraction-synthesis'!J38)),"X","")</f>
        <v/>
      </c>
      <c r="D19" s="20" t="str">
        <f>IF(ISNUMBER(SEARCH("Industry standard",'Data extraction-synthesis'!J38)),"X","")</f>
        <v/>
      </c>
      <c r="E19" s="20" t="str">
        <f>IF(ISNUMBER(SEARCH("Guidelines",'Data extraction-synthesis'!J38)),"X","")</f>
        <v/>
      </c>
      <c r="F19" s="20" t="str">
        <f>IF(ISNUMBER(SEARCH("Interviews with experts",'Data extraction-synthesis'!J38)),"X","")</f>
        <v/>
      </c>
      <c r="G19" s="20" t="str">
        <f>IF(ISNUMBER(SEARCH("Surveys with experts/expert opinion",'Data extraction-synthesis'!J38)),"X","")</f>
        <v/>
      </c>
      <c r="H19" s="20" t="str">
        <f>IF(ISNUMBER(SEARCH("Consensus meeting inputs",'Data extraction-synthesis'!J38)),"X","")</f>
        <v/>
      </c>
      <c r="I19" s="20" t="str">
        <f>IF(ISNUMBER(SEARCH("Available data",'Data extraction-synthesis'!J38)),"X","")</f>
        <v/>
      </c>
      <c r="J19" s="20" t="str">
        <f>IF(ISNUMBER(SEARCH("Field observations",'Data extraction-synthesis'!J38)),"X","")</f>
        <v/>
      </c>
      <c r="K19" s="20" t="str">
        <f>IF(ISNUMBER(SEARCH("Laboratory evaluations",'Data extraction-synthesis'!J38)),"X","")</f>
        <v/>
      </c>
      <c r="L19" s="20" t="str">
        <f>IF(ISNUMBER(SEARCH("Models",'Data extraction-synthesis'!J38)),"X","")</f>
        <v/>
      </c>
      <c r="M19" s="20" t="str">
        <f>IF(ISNUMBER(SEARCH("Early usability studies",'Data extraction-synthesis'!J38)),"X","")</f>
        <v/>
      </c>
      <c r="N19" s="20" t="str">
        <f>IF(ISNUMBER(SEARCH("No input sources reported",'Data extraction-synthesis'!J38)),"X","")</f>
        <v>X</v>
      </c>
      <c r="O19" s="20" t="str">
        <f>IF(ISNUMBER(SEARCH("N/A",'Data extraction-synthesis'!J38)),"X","")</f>
        <v/>
      </c>
      <c r="R19" s="9" t="str">
        <f t="shared" si="0"/>
        <v>N/A</v>
      </c>
    </row>
    <row r="20" spans="1:18" ht="106.2">
      <c r="A20" s="56" t="s">
        <v>41</v>
      </c>
      <c r="B20" s="19" t="s">
        <v>42</v>
      </c>
      <c r="C20" s="20" t="str">
        <f>IF(ISNUMBER(SEARCH("Literature",'Data extraction-synthesis'!J10)),"X","")</f>
        <v>X</v>
      </c>
      <c r="D20" s="20" t="str">
        <f>IF(ISNUMBER(SEARCH("Industry standard",'Data extraction-synthesis'!J10)),"X","")</f>
        <v/>
      </c>
      <c r="E20" s="20" t="str">
        <f>IF(ISNUMBER(SEARCH("Guidelines",'Data extraction-synthesis'!J10)),"X","")</f>
        <v/>
      </c>
      <c r="F20" s="20" t="str">
        <f>IF(ISNUMBER(SEARCH("Interviews with experts",'Data extraction-synthesis'!J10)),"X","")</f>
        <v/>
      </c>
      <c r="G20" s="20" t="str">
        <f>IF(ISNUMBER(SEARCH("Surveys with experts/expert opinion",'Data extraction-synthesis'!J10)),"X","")</f>
        <v/>
      </c>
      <c r="H20" s="20" t="str">
        <f>IF(ISNUMBER(SEARCH("Consensus meeting inputs",'Data extraction-synthesis'!J10)),"X","")</f>
        <v/>
      </c>
      <c r="I20" s="20" t="str">
        <f>IF(ISNUMBER(SEARCH("Available data",'Data extraction-synthesis'!J10)),"X","")</f>
        <v/>
      </c>
      <c r="J20" s="20" t="str">
        <f>IF(ISNUMBER(SEARCH("Field observations",'Data extraction-synthesis'!J10)),"X","")</f>
        <v/>
      </c>
      <c r="K20" s="20" t="str">
        <f>IF(ISNUMBER(SEARCH("Laboratory evaluations",'Data extraction-synthesis'!J10)),"X","")</f>
        <v/>
      </c>
      <c r="L20" s="20" t="str">
        <f>IF(ISNUMBER(SEARCH("Models",'Data extraction-synthesis'!J10)),"X","")</f>
        <v/>
      </c>
      <c r="M20" s="20" t="str">
        <f>IF(ISNUMBER(SEARCH("Early usability studies",'Data extraction-synthesis'!J10)),"X","")</f>
        <v/>
      </c>
      <c r="N20" s="20" t="str">
        <f>IF(ISNUMBER(SEARCH("No input sources reported",'Data extraction-synthesis'!J10)),"X","")</f>
        <v/>
      </c>
      <c r="O20" s="20" t="str">
        <f>IF(ISNUMBER(SEARCH("N/A",'Data extraction-synthesis'!J10)),"X","")</f>
        <v/>
      </c>
      <c r="R20" s="9" t="str">
        <f t="shared" si="0"/>
        <v>NO</v>
      </c>
    </row>
    <row r="21" spans="1:18" ht="79.8">
      <c r="A21" s="56" t="s">
        <v>43</v>
      </c>
      <c r="B21" s="19" t="s">
        <v>44</v>
      </c>
      <c r="C21" s="20" t="str">
        <f>IF(ISNUMBER(SEARCH("Literature",'Data extraction-synthesis'!J11)),"X","")</f>
        <v>X</v>
      </c>
      <c r="D21" s="20" t="str">
        <f>IF(ISNUMBER(SEARCH("Industry standard",'Data extraction-synthesis'!J11)),"X","")</f>
        <v/>
      </c>
      <c r="E21" s="20" t="str">
        <f>IF(ISNUMBER(SEARCH("Guidelines",'Data extraction-synthesis'!J11)),"X","")</f>
        <v/>
      </c>
      <c r="F21" s="20" t="str">
        <f>IF(ISNUMBER(SEARCH("Interviews with experts",'Data extraction-synthesis'!J11)),"X","")</f>
        <v/>
      </c>
      <c r="G21" s="20" t="str">
        <f>IF(ISNUMBER(SEARCH("Surveys with experts/expert opinion",'Data extraction-synthesis'!J11)),"X","")</f>
        <v/>
      </c>
      <c r="H21" s="20" t="str">
        <f>IF(ISNUMBER(SEARCH("Consensus meeting inputs",'Data extraction-synthesis'!J11)),"X","")</f>
        <v/>
      </c>
      <c r="I21" s="20" t="str">
        <f>IF(ISNUMBER(SEARCH("Available data",'Data extraction-synthesis'!J11)),"X","")</f>
        <v/>
      </c>
      <c r="J21" s="20" t="str">
        <f>IF(ISNUMBER(SEARCH("Field observations",'Data extraction-synthesis'!J11)),"X","")</f>
        <v/>
      </c>
      <c r="K21" s="20" t="str">
        <f>IF(ISNUMBER(SEARCH("Laboratory evaluations",'Data extraction-synthesis'!J11)),"X","")</f>
        <v/>
      </c>
      <c r="L21" s="20" t="str">
        <f>IF(ISNUMBER(SEARCH("Models",'Data extraction-synthesis'!J11)),"X","")</f>
        <v/>
      </c>
      <c r="M21" s="20" t="str">
        <f>IF(ISNUMBER(SEARCH("Early usability studies",'Data extraction-synthesis'!J11)),"X","")</f>
        <v/>
      </c>
      <c r="N21" s="20" t="str">
        <f>IF(ISNUMBER(SEARCH("No input sources reported",'Data extraction-synthesis'!J11)),"X","")</f>
        <v/>
      </c>
      <c r="O21" s="20" t="str">
        <f>IF(ISNUMBER(SEARCH("N/A",'Data extraction-synthesis'!J11)),"X","")</f>
        <v/>
      </c>
      <c r="R21" s="9" t="str">
        <f t="shared" si="0"/>
        <v>NO</v>
      </c>
    </row>
    <row r="22" spans="1:18" ht="66.6">
      <c r="A22" s="56" t="s">
        <v>80</v>
      </c>
      <c r="B22" s="19" t="s">
        <v>81</v>
      </c>
      <c r="C22" s="20" t="str">
        <f>IF(ISNUMBER(SEARCH("Literature",'Data extraction-synthesis'!J33)),"X","")</f>
        <v/>
      </c>
      <c r="D22" s="20" t="str">
        <f>IF(ISNUMBER(SEARCH("Industry standard",'Data extraction-synthesis'!J33)),"X","")</f>
        <v/>
      </c>
      <c r="E22" s="20" t="str">
        <f>IF(ISNUMBER(SEARCH("Guidelines",'Data extraction-synthesis'!J33)),"X","")</f>
        <v/>
      </c>
      <c r="F22" s="20" t="str">
        <f>IF(ISNUMBER(SEARCH("Interviews with experts",'Data extraction-synthesis'!J33)),"X","")</f>
        <v/>
      </c>
      <c r="G22" s="20" t="str">
        <f>IF(ISNUMBER(SEARCH("Surveys with experts/expert opinion",'Data extraction-synthesis'!J33)),"X","")</f>
        <v>X</v>
      </c>
      <c r="H22" s="20" t="str">
        <f>IF(ISNUMBER(SEARCH("Consensus meeting inputs",'Data extraction-synthesis'!J33)),"X","")</f>
        <v/>
      </c>
      <c r="I22" s="20" t="str">
        <f>IF(ISNUMBER(SEARCH("Available data",'Data extraction-synthesis'!J33)),"X","")</f>
        <v/>
      </c>
      <c r="J22" s="20" t="str">
        <f>IF(ISNUMBER(SEARCH("Field observations",'Data extraction-synthesis'!J33)),"X","")</f>
        <v/>
      </c>
      <c r="K22" s="20" t="str">
        <f>IF(ISNUMBER(SEARCH("Laboratory evaluations",'Data extraction-synthesis'!J33)),"X","")</f>
        <v/>
      </c>
      <c r="L22" s="20" t="str">
        <f>IF(ISNUMBER(SEARCH("Models",'Data extraction-synthesis'!J33)),"X","")</f>
        <v>X</v>
      </c>
      <c r="M22" s="20" t="str">
        <f>IF(ISNUMBER(SEARCH("Early usability studies",'Data extraction-synthesis'!J33)),"X","")</f>
        <v/>
      </c>
      <c r="N22" s="20" t="str">
        <f>IF(ISNUMBER(SEARCH("No input sources reported",'Data extraction-synthesis'!J33)),"X","")</f>
        <v/>
      </c>
      <c r="O22" s="20" t="str">
        <f>IF(ISNUMBER(SEARCH("N/A",'Data extraction-synthesis'!J33)),"X","")</f>
        <v/>
      </c>
      <c r="R22" s="9" t="str">
        <f t="shared" si="0"/>
        <v>YES</v>
      </c>
    </row>
    <row r="23" spans="1:18" ht="145.8">
      <c r="A23" s="56" t="s">
        <v>61</v>
      </c>
      <c r="B23" s="19" t="s">
        <v>62</v>
      </c>
      <c r="C23" s="20" t="str">
        <f>IF(ISNUMBER(SEARCH("Literature",'Data extraction-synthesis'!J19)),"X","")</f>
        <v>X</v>
      </c>
      <c r="D23" s="20" t="str">
        <f>IF(ISNUMBER(SEARCH("Industry standard",'Data extraction-synthesis'!J19)),"X","")</f>
        <v/>
      </c>
      <c r="E23" s="20" t="str">
        <f>IF(ISNUMBER(SEARCH("Guidelines",'Data extraction-synthesis'!J19)),"X","")</f>
        <v/>
      </c>
      <c r="F23" s="20" t="str">
        <f>IF(ISNUMBER(SEARCH("Interviews with experts",'Data extraction-synthesis'!J19)),"X","")</f>
        <v/>
      </c>
      <c r="G23" s="20" t="str">
        <f>IF(ISNUMBER(SEARCH("Surveys with experts/expert opinion",'Data extraction-synthesis'!J19)),"X","")</f>
        <v/>
      </c>
      <c r="H23" s="20" t="str">
        <f>IF(ISNUMBER(SEARCH("Consensus meeting inputs",'Data extraction-synthesis'!J19)),"X","")</f>
        <v/>
      </c>
      <c r="I23" s="20" t="str">
        <f>IF(ISNUMBER(SEARCH("Available data",'Data extraction-synthesis'!J19)),"X","")</f>
        <v/>
      </c>
      <c r="J23" s="20" t="str">
        <f>IF(ISNUMBER(SEARCH("Field observations",'Data extraction-synthesis'!J19)),"X","")</f>
        <v/>
      </c>
      <c r="K23" s="20" t="str">
        <f>IF(ISNUMBER(SEARCH("Laboratory evaluations",'Data extraction-synthesis'!J19)),"X","")</f>
        <v>X</v>
      </c>
      <c r="L23" s="20" t="str">
        <f>IF(ISNUMBER(SEARCH("Models",'Data extraction-synthesis'!J19)),"X","")</f>
        <v/>
      </c>
      <c r="M23" s="20"/>
      <c r="N23" s="20" t="str">
        <f>IF(ISNUMBER(SEARCH("No input sources reported",'Data extraction-synthesis'!J19)),"X","")</f>
        <v/>
      </c>
      <c r="O23" s="20" t="str">
        <f>IF(ISNUMBER(SEARCH("N/A",'Data extraction-synthesis'!J19)),"X","")</f>
        <v/>
      </c>
      <c r="R23" s="9" t="str">
        <f t="shared" si="0"/>
        <v>YES</v>
      </c>
    </row>
    <row r="24" spans="1:18" ht="79.8">
      <c r="A24" s="56" t="s">
        <v>61</v>
      </c>
      <c r="B24" s="19" t="s">
        <v>63</v>
      </c>
      <c r="C24" s="20" t="str">
        <f>IF(ISNUMBER(SEARCH("Literature",'Data extraction-synthesis'!J20)),"X","")</f>
        <v/>
      </c>
      <c r="D24" s="20" t="str">
        <f>IF(ISNUMBER(SEARCH("Industry standard",'Data extraction-synthesis'!J20)),"X","")</f>
        <v/>
      </c>
      <c r="E24" s="20" t="str">
        <f>IF(ISNUMBER(SEARCH("Guidelines",'Data extraction-synthesis'!J20)),"X","")</f>
        <v/>
      </c>
      <c r="F24" s="20" t="str">
        <f>IF(ISNUMBER(SEARCH("Interviews with experts",'Data extraction-synthesis'!J20)),"X","")</f>
        <v/>
      </c>
      <c r="G24" s="20" t="str">
        <f>IF(ISNUMBER(SEARCH("Surveys with experts/expert opinion",'Data extraction-synthesis'!J20)),"X","")</f>
        <v/>
      </c>
      <c r="H24" s="20" t="str">
        <f>IF(ISNUMBER(SEARCH("Consensus meeting inputs",'Data extraction-synthesis'!J20)),"X","")</f>
        <v/>
      </c>
      <c r="I24" s="20" t="str">
        <f>IF(ISNUMBER(SEARCH("Available data",'Data extraction-synthesis'!J20)),"X","")</f>
        <v/>
      </c>
      <c r="J24" s="20" t="str">
        <f>IF(ISNUMBER(SEARCH("Field observations",'Data extraction-synthesis'!J20)),"X","")</f>
        <v/>
      </c>
      <c r="K24" s="20" t="str">
        <f>IF(ISNUMBER(SEARCH("Laboratory evaluations",'Data extraction-synthesis'!J20)),"X","")</f>
        <v/>
      </c>
      <c r="L24" s="20" t="str">
        <f>IF(ISNUMBER(SEARCH("Models",'Data extraction-synthesis'!J20)),"X","")</f>
        <v/>
      </c>
      <c r="M24" s="20" t="str">
        <f>IF(ISNUMBER(SEARCH("Early usability studies",'Data extraction-synthesis'!J20)),"X","")</f>
        <v/>
      </c>
      <c r="N24" s="20" t="str">
        <f>IF(ISNUMBER(SEARCH("No input sources reported",'Data extraction-synthesis'!J20)),"X","")</f>
        <v/>
      </c>
      <c r="O24" s="20" t="str">
        <f>IF(ISNUMBER(SEARCH("N/A",'Data extraction-synthesis'!J20)),"X","")</f>
        <v>X</v>
      </c>
      <c r="R24" s="9" t="str">
        <f t="shared" si="0"/>
        <v>N/A</v>
      </c>
    </row>
    <row r="25" spans="1:18" ht="66.6">
      <c r="A25" s="56" t="s">
        <v>61</v>
      </c>
      <c r="B25" s="19" t="s">
        <v>64</v>
      </c>
      <c r="C25" s="20" t="str">
        <f>IF(ISNUMBER(SEARCH("Literature",'Data extraction-synthesis'!J21)),"X","")</f>
        <v>X</v>
      </c>
      <c r="D25" s="20" t="str">
        <f>IF(ISNUMBER(SEARCH("Industry standard",'Data extraction-synthesis'!J21)),"X","")</f>
        <v/>
      </c>
      <c r="E25" s="20" t="str">
        <f>IF(ISNUMBER(SEARCH("Guidelines",'Data extraction-synthesis'!J21)),"X","")</f>
        <v/>
      </c>
      <c r="F25" s="20" t="str">
        <f>IF(ISNUMBER(SEARCH("Interviews with experts",'Data extraction-synthesis'!J21)),"X","")</f>
        <v/>
      </c>
      <c r="G25" s="20" t="str">
        <f>IF(ISNUMBER(SEARCH("Surveys with experts/expert opinion",'Data extraction-synthesis'!J21)),"X","")</f>
        <v/>
      </c>
      <c r="H25" s="20" t="str">
        <f>IF(ISNUMBER(SEARCH("Consensus meeting inputs",'Data extraction-synthesis'!J21)),"X","")</f>
        <v/>
      </c>
      <c r="I25" s="20" t="str">
        <f>IF(ISNUMBER(SEARCH("Available data",'Data extraction-synthesis'!J21)),"X","")</f>
        <v/>
      </c>
      <c r="J25" s="20" t="str">
        <f>IF(ISNUMBER(SEARCH("Field observations",'Data extraction-synthesis'!J21)),"X","")</f>
        <v/>
      </c>
      <c r="K25" s="20" t="str">
        <f>IF(ISNUMBER(SEARCH("Laboratory evaluations",'Data extraction-synthesis'!J21)),"X","")</f>
        <v/>
      </c>
      <c r="L25" s="20" t="str">
        <f>IF(ISNUMBER(SEARCH("Models",'Data extraction-synthesis'!J21)),"X","")</f>
        <v/>
      </c>
      <c r="M25" s="20" t="str">
        <f>IF(ISNUMBER(SEARCH("Early usability studies",'Data extraction-synthesis'!J21)),"X","")</f>
        <v/>
      </c>
      <c r="N25" s="20" t="str">
        <f>IF(ISNUMBER(SEARCH("No input sources reported",'Data extraction-synthesis'!J21)),"X","")</f>
        <v/>
      </c>
      <c r="O25" s="20" t="str">
        <f>IF(ISNUMBER(SEARCH("N/A",'Data extraction-synthesis'!J21)),"X","")</f>
        <v/>
      </c>
      <c r="R25" s="9" t="str">
        <f t="shared" si="0"/>
        <v>NO</v>
      </c>
    </row>
    <row r="26" spans="1:18" ht="93">
      <c r="A26" s="56" t="s">
        <v>61</v>
      </c>
      <c r="B26" s="22" t="s">
        <v>84</v>
      </c>
      <c r="C26" s="20" t="str">
        <f>IF(ISNUMBER(SEARCH("Literature",'Data extraction-synthesis'!J34)),"X","")</f>
        <v>X</v>
      </c>
      <c r="D26" s="20" t="str">
        <f>IF(ISNUMBER(SEARCH("Industry standard",'Data extraction-synthesis'!J34)),"X","")</f>
        <v/>
      </c>
      <c r="E26" s="20" t="str">
        <f>IF(ISNUMBER(SEARCH("Guidelines",'Data extraction-synthesis'!J34)),"X","")</f>
        <v/>
      </c>
      <c r="F26" s="20" t="str">
        <f>IF(ISNUMBER(SEARCH("Interviews with experts",'Data extraction-synthesis'!J34)),"X","")</f>
        <v/>
      </c>
      <c r="G26" s="20" t="str">
        <f>IF(ISNUMBER(SEARCH("Surveys with experts/expert opinion",'Data extraction-synthesis'!J34)),"X","")</f>
        <v/>
      </c>
      <c r="H26" s="20" t="str">
        <f>IF(ISNUMBER(SEARCH("Consensus meeting inputs",'Data extraction-synthesis'!J34)),"X","")</f>
        <v/>
      </c>
      <c r="I26" s="20" t="str">
        <f>IF(ISNUMBER(SEARCH("Available data",'Data extraction-synthesis'!J34)),"X","")</f>
        <v/>
      </c>
      <c r="J26" s="20" t="str">
        <f>IF(ISNUMBER(SEARCH("Field observations",'Data extraction-synthesis'!J34)),"X","")</f>
        <v/>
      </c>
      <c r="K26" s="20" t="str">
        <f>IF(ISNUMBER(SEARCH("Laboratory evaluations",'Data extraction-synthesis'!J34)),"X","")</f>
        <v/>
      </c>
      <c r="L26" s="20" t="str">
        <f>IF(ISNUMBER(SEARCH("Models",'Data extraction-synthesis'!J34)),"X","")</f>
        <v/>
      </c>
      <c r="M26" s="20" t="str">
        <f>IF(ISNUMBER(SEARCH("Early usability studies",'Data extraction-synthesis'!J34)),"X","")</f>
        <v/>
      </c>
      <c r="N26" s="20" t="str">
        <f>IF(ISNUMBER(SEARCH("No input sources reported",'Data extraction-synthesis'!J34)),"X","")</f>
        <v/>
      </c>
      <c r="O26" s="20" t="str">
        <f>IF(ISNUMBER(SEARCH("N/A",'Data extraction-synthesis'!J34)),"X","")</f>
        <v/>
      </c>
      <c r="R26" s="9" t="str">
        <f t="shared" si="0"/>
        <v>NO</v>
      </c>
    </row>
    <row r="27" spans="1:18" ht="106.2">
      <c r="A27" s="56" t="s">
        <v>61</v>
      </c>
      <c r="B27" s="19" t="s">
        <v>85</v>
      </c>
      <c r="C27" s="20" t="str">
        <f>IF(ISNUMBER(SEARCH("Literature",'Data extraction-synthesis'!J35)),"X","")</f>
        <v>X</v>
      </c>
      <c r="D27" s="20" t="str">
        <f>IF(ISNUMBER(SEARCH("Industry standard",'Data extraction-synthesis'!J35)),"X","")</f>
        <v/>
      </c>
      <c r="E27" s="20" t="str">
        <f>IF(ISNUMBER(SEARCH("Guidelines",'Data extraction-synthesis'!J35)),"X","")</f>
        <v/>
      </c>
      <c r="F27" s="20" t="str">
        <f>IF(ISNUMBER(SEARCH("Interviews with experts",'Data extraction-synthesis'!J35)),"X","")</f>
        <v/>
      </c>
      <c r="G27" s="20" t="str">
        <f>IF(ISNUMBER(SEARCH("Surveys with experts/expert opinion",'Data extraction-synthesis'!J35)),"X","")</f>
        <v/>
      </c>
      <c r="H27" s="20" t="str">
        <f>IF(ISNUMBER(SEARCH("Consensus meeting inputs",'Data extraction-synthesis'!J35)),"X","")</f>
        <v/>
      </c>
      <c r="I27" s="20" t="str">
        <f>IF(ISNUMBER(SEARCH("Available data",'Data extraction-synthesis'!J35)),"X","")</f>
        <v/>
      </c>
      <c r="J27" s="20" t="str">
        <f>IF(ISNUMBER(SEARCH("Field observations",'Data extraction-synthesis'!J35)),"X","")</f>
        <v/>
      </c>
      <c r="K27" s="20" t="str">
        <f>IF(ISNUMBER(SEARCH("Laboratory evaluations",'Data extraction-synthesis'!J35)),"X","")</f>
        <v/>
      </c>
      <c r="L27" s="20" t="str">
        <f>IF(ISNUMBER(SEARCH("Models",'Data extraction-synthesis'!J35)),"X","")</f>
        <v/>
      </c>
      <c r="M27" s="20" t="str">
        <f>IF(ISNUMBER(SEARCH("Early usability studies",'Data extraction-synthesis'!J35)),"X","")</f>
        <v/>
      </c>
      <c r="N27" s="20" t="str">
        <f>IF(ISNUMBER(SEARCH("No input sources reported",'Data extraction-synthesis'!J35)),"X","")</f>
        <v/>
      </c>
      <c r="O27" s="20" t="str">
        <f>IF(ISNUMBER(SEARCH("N/A",'Data extraction-synthesis'!J35)),"X","")</f>
        <v/>
      </c>
      <c r="R27" s="9" t="str">
        <f t="shared" si="0"/>
        <v>NO</v>
      </c>
    </row>
    <row r="28" spans="1:18" ht="66.6">
      <c r="A28" s="56" t="s">
        <v>61</v>
      </c>
      <c r="B28" s="19" t="s">
        <v>99</v>
      </c>
      <c r="C28" s="20" t="str">
        <f>IF(ISNUMBER(SEARCH("Literature",'Data extraction-synthesis'!J42)),"X","")</f>
        <v>X</v>
      </c>
      <c r="D28" s="20" t="str">
        <f>IF(ISNUMBER(SEARCH("Industry standard",'Data extraction-synthesis'!J42)),"X","")</f>
        <v/>
      </c>
      <c r="E28" s="20" t="str">
        <f>IF(ISNUMBER(SEARCH("Guidelines",'Data extraction-synthesis'!J42)),"X","")</f>
        <v/>
      </c>
      <c r="F28" s="20" t="str">
        <f>IF(ISNUMBER(SEARCH("Interviews with experts",'Data extraction-synthesis'!J42)),"X","")</f>
        <v/>
      </c>
      <c r="G28" s="20" t="str">
        <f>IF(ISNUMBER(SEARCH("Surveys with experts/expert opinion",'Data extraction-synthesis'!J42)),"X","")</f>
        <v/>
      </c>
      <c r="H28" s="20" t="str">
        <f>IF(ISNUMBER(SEARCH("Consensus meeting inputs",'Data extraction-synthesis'!J42)),"X","")</f>
        <v/>
      </c>
      <c r="I28" s="20" t="str">
        <f>IF(ISNUMBER(SEARCH("Available data",'Data extraction-synthesis'!J42)),"X","")</f>
        <v/>
      </c>
      <c r="J28" s="20" t="str">
        <f>IF(ISNUMBER(SEARCH("Field observations",'Data extraction-synthesis'!J42)),"X","")</f>
        <v/>
      </c>
      <c r="K28" s="20" t="str">
        <f>IF(ISNUMBER(SEARCH("Laboratory evaluations",'Data extraction-synthesis'!J42)),"X","")</f>
        <v/>
      </c>
      <c r="L28" s="20" t="str">
        <f>IF(ISNUMBER(SEARCH("Models",'Data extraction-synthesis'!J42)),"X","")</f>
        <v/>
      </c>
      <c r="M28" s="20" t="str">
        <f>IF(ISNUMBER(SEARCH("Early usability studies",'Data extraction-synthesis'!J42)),"X","")</f>
        <v/>
      </c>
      <c r="N28" s="20" t="str">
        <f>IF(ISNUMBER(SEARCH("No input sources reported",'Data extraction-synthesis'!J42)),"X","")</f>
        <v/>
      </c>
      <c r="O28" s="20" t="str">
        <f>IF(ISNUMBER(SEARCH("N/A",'Data extraction-synthesis'!J42)),"X","")</f>
        <v/>
      </c>
      <c r="R28" s="9" t="str">
        <f t="shared" si="0"/>
        <v>NO</v>
      </c>
    </row>
    <row r="29" spans="1:18" ht="132.6">
      <c r="A29" s="56" t="s">
        <v>61</v>
      </c>
      <c r="B29" s="19" t="s">
        <v>103</v>
      </c>
      <c r="C29" s="20"/>
      <c r="D29" s="20" t="str">
        <f>IF(ISNUMBER(SEARCH("Industry standard",'Data extraction-synthesis'!J44)),"X","")</f>
        <v/>
      </c>
      <c r="E29" s="20" t="str">
        <f>IF(ISNUMBER(SEARCH("Guidelines",'Data extraction-synthesis'!J44)),"X","")</f>
        <v/>
      </c>
      <c r="F29" s="20" t="str">
        <f>IF(ISNUMBER(SEARCH("Interviews with experts",'Data extraction-synthesis'!J44)),"X","")</f>
        <v/>
      </c>
      <c r="G29" s="20" t="str">
        <f>IF(ISNUMBER(SEARCH("Surveys with experts/expert opinion",'Data extraction-synthesis'!J44)),"X","")</f>
        <v/>
      </c>
      <c r="H29" s="20" t="str">
        <f>IF(ISNUMBER(SEARCH("Consensus meeting inputs",'Data extraction-synthesis'!J44)),"X","")</f>
        <v/>
      </c>
      <c r="I29" s="20" t="str">
        <f>IF(ISNUMBER(SEARCH("Available data",'Data extraction-synthesis'!J44)),"X","")</f>
        <v/>
      </c>
      <c r="J29" s="20" t="str">
        <f>IF(ISNUMBER(SEARCH("Field observations",'Data extraction-synthesis'!J44)),"X","")</f>
        <v/>
      </c>
      <c r="K29" s="20" t="str">
        <f>IF(ISNUMBER(SEARCH("Laboratory evaluations",'Data extraction-synthesis'!J44)),"X","")</f>
        <v/>
      </c>
      <c r="L29" s="20" t="str">
        <f>IF(ISNUMBER(SEARCH("Models",'Data extraction-synthesis'!J44)),"X","")</f>
        <v/>
      </c>
      <c r="M29" s="20" t="str">
        <f>IF(ISNUMBER(SEARCH("Early usability studies",'Data extraction-synthesis'!J44)),"X","")</f>
        <v/>
      </c>
      <c r="N29" s="82"/>
      <c r="O29" s="82" t="s">
        <v>198</v>
      </c>
      <c r="R29" s="9" t="str">
        <f t="shared" si="0"/>
        <v>N/A</v>
      </c>
    </row>
    <row r="30" spans="1:18" ht="53.4">
      <c r="A30" s="56" t="s">
        <v>100</v>
      </c>
      <c r="B30" s="19" t="s">
        <v>101</v>
      </c>
      <c r="C30" s="20" t="str">
        <f>IF(ISNUMBER(SEARCH("Literature",'Data extraction-synthesis'!J43)),"X","")</f>
        <v/>
      </c>
      <c r="D30" s="20" t="str">
        <f>IF(ISNUMBER(SEARCH("Industry standard",'Data extraction-synthesis'!J43)),"X","")</f>
        <v/>
      </c>
      <c r="E30" s="20" t="str">
        <f>IF(ISNUMBER(SEARCH("Guidelines",'Data extraction-synthesis'!J43)),"X","")</f>
        <v/>
      </c>
      <c r="F30" s="20" t="str">
        <f>IF(ISNUMBER(SEARCH("Interviews with experts",'Data extraction-synthesis'!J43)),"X","")</f>
        <v/>
      </c>
      <c r="G30" s="20" t="str">
        <f>IF(ISNUMBER(SEARCH("Surveys with experts/expert opinion",'Data extraction-synthesis'!J43)),"X","")</f>
        <v/>
      </c>
      <c r="H30" s="20" t="str">
        <f>IF(ISNUMBER(SEARCH("Consensus meeting inputs",'Data extraction-synthesis'!J43)),"X","")</f>
        <v/>
      </c>
      <c r="I30" s="20" t="str">
        <f>IF(ISNUMBER(SEARCH("Available data",'Data extraction-synthesis'!J43)),"X","")</f>
        <v/>
      </c>
      <c r="J30" s="20" t="str">
        <f>IF(ISNUMBER(SEARCH("Field observations",'Data extraction-synthesis'!J43)),"X","")</f>
        <v/>
      </c>
      <c r="K30" s="20" t="str">
        <f>IF(ISNUMBER(SEARCH("Laboratory evaluations",'Data extraction-synthesis'!J43)),"X","")</f>
        <v/>
      </c>
      <c r="L30" s="20" t="str">
        <f>IF(ISNUMBER(SEARCH("Models",'Data extraction-synthesis'!J43)),"X","")</f>
        <v/>
      </c>
      <c r="M30" s="20" t="str">
        <f>IF(ISNUMBER(SEARCH("Early usability studies",'Data extraction-synthesis'!J43)),"X","")</f>
        <v/>
      </c>
      <c r="N30" s="20" t="str">
        <f>IF(ISNUMBER(SEARCH("No input sources reported",'Data extraction-synthesis'!J43)),"X","")</f>
        <v/>
      </c>
      <c r="O30" s="20" t="str">
        <f>IF(ISNUMBER(SEARCH("N/A",'Data extraction-synthesis'!J43)),"X","")</f>
        <v>X</v>
      </c>
      <c r="R30" s="9" t="str">
        <f t="shared" si="0"/>
        <v>N/A</v>
      </c>
    </row>
    <row r="31" spans="1:18" ht="106.2">
      <c r="A31" s="56" t="s">
        <v>45</v>
      </c>
      <c r="B31" s="19" t="s">
        <v>46</v>
      </c>
      <c r="C31" s="20" t="str">
        <f>IF(ISNUMBER(SEARCH("Literature",'Data extraction-synthesis'!J12)),"X","")</f>
        <v/>
      </c>
      <c r="D31" s="20" t="str">
        <f>IF(ISNUMBER(SEARCH("Industry standard",'Data extraction-synthesis'!J12)),"X","")</f>
        <v/>
      </c>
      <c r="E31" s="20" t="str">
        <f>IF(ISNUMBER(SEARCH("Guidelines",'Data extraction-synthesis'!J12)),"X","")</f>
        <v/>
      </c>
      <c r="F31" s="20" t="str">
        <f>IF(ISNUMBER(SEARCH("Interviews with experts",'Data extraction-synthesis'!J12)),"X","")</f>
        <v/>
      </c>
      <c r="G31" s="20" t="str">
        <f>IF(ISNUMBER(SEARCH("Surveys with experts/expert opinion",'Data extraction-synthesis'!J12)),"X","")</f>
        <v/>
      </c>
      <c r="H31" s="20" t="str">
        <f>IF(ISNUMBER(SEARCH("Consensus meeting inputs",'Data extraction-synthesis'!J12)),"X","")</f>
        <v/>
      </c>
      <c r="I31" s="20" t="str">
        <f>IF(ISNUMBER(SEARCH("Available data",'Data extraction-synthesis'!J12)),"X","")</f>
        <v/>
      </c>
      <c r="J31" s="20" t="str">
        <f>IF(ISNUMBER(SEARCH("Field observations",'Data extraction-synthesis'!J12)),"X","")</f>
        <v/>
      </c>
      <c r="K31" s="20" t="str">
        <f>IF(ISNUMBER(SEARCH("Laboratory evaluations",'Data extraction-synthesis'!J12)),"X","")</f>
        <v/>
      </c>
      <c r="L31" s="20" t="str">
        <f>IF(ISNUMBER(SEARCH("Models",'Data extraction-synthesis'!J12)),"X","")</f>
        <v/>
      </c>
      <c r="M31" s="20" t="str">
        <f>IF(ISNUMBER(SEARCH("Early usability studies",'Data extraction-synthesis'!J12)),"X","")</f>
        <v/>
      </c>
      <c r="N31" s="20" t="str">
        <f>IF(ISNUMBER(SEARCH("No input sources reported",'Data extraction-synthesis'!J12)),"X","")</f>
        <v>X</v>
      </c>
      <c r="O31" s="20" t="str">
        <f>IF(ISNUMBER(SEARCH("N/A",'Data extraction-synthesis'!J12)),"X","")</f>
        <v/>
      </c>
      <c r="R31" s="9" t="str">
        <f t="shared" si="0"/>
        <v>N/A</v>
      </c>
    </row>
    <row r="32" spans="1:18" ht="93">
      <c r="A32" s="56" t="s">
        <v>48</v>
      </c>
      <c r="B32" s="19" t="s">
        <v>49</v>
      </c>
      <c r="C32" s="20" t="str">
        <f>IF(ISNUMBER(SEARCH("Literature",'Data extraction-synthesis'!J13)),"X","")</f>
        <v>X</v>
      </c>
      <c r="D32" s="20" t="str">
        <f>IF(ISNUMBER(SEARCH("Industry standard",'Data extraction-synthesis'!J13)),"X","")</f>
        <v/>
      </c>
      <c r="E32" s="20" t="str">
        <f>IF(ISNUMBER(SEARCH("Guidelines",'Data extraction-synthesis'!J13)),"X","")</f>
        <v/>
      </c>
      <c r="F32" s="20" t="str">
        <f>IF(ISNUMBER(SEARCH("Interviews with experts",'Data extraction-synthesis'!J13)),"X","")</f>
        <v/>
      </c>
      <c r="G32" s="20" t="str">
        <f>IF(ISNUMBER(SEARCH("Surveys with experts/expert opinion",'Data extraction-synthesis'!J13)),"X","")</f>
        <v>X</v>
      </c>
      <c r="H32" s="20" t="str">
        <f>IF(ISNUMBER(SEARCH("Consensus meeting inputs",'Data extraction-synthesis'!J13)),"X","")</f>
        <v/>
      </c>
      <c r="I32" s="20" t="str">
        <f>IF(ISNUMBER(SEARCH("Available data",'Data extraction-synthesis'!J13)),"X","")</f>
        <v/>
      </c>
      <c r="J32" s="20" t="str">
        <f>IF(ISNUMBER(SEARCH("Field observations",'Data extraction-synthesis'!J13)),"X","")</f>
        <v/>
      </c>
      <c r="K32" s="20" t="str">
        <f>IF(ISNUMBER(SEARCH("Laboratory evaluations",'Data extraction-synthesis'!J13)),"X","")</f>
        <v/>
      </c>
      <c r="L32" s="20" t="str">
        <f>IF(ISNUMBER(SEARCH("Models",'Data extraction-synthesis'!J13)),"X","")</f>
        <v>X</v>
      </c>
      <c r="M32" s="20" t="str">
        <f>IF(ISNUMBER(SEARCH("Early usability studies",'Data extraction-synthesis'!J13)),"X","")</f>
        <v/>
      </c>
      <c r="N32" s="20" t="str">
        <f>IF(ISNUMBER(SEARCH("No input sources reported",'Data extraction-synthesis'!J13)),"X","")</f>
        <v/>
      </c>
      <c r="O32" s="20" t="str">
        <f>IF(ISNUMBER(SEARCH("N/A",'Data extraction-synthesis'!J13)),"X","")</f>
        <v/>
      </c>
      <c r="R32" s="9" t="str">
        <f t="shared" si="0"/>
        <v>YES</v>
      </c>
    </row>
    <row r="33" spans="1:18" ht="132.6">
      <c r="A33" s="56" t="s">
        <v>50</v>
      </c>
      <c r="B33" s="19" t="s">
        <v>51</v>
      </c>
      <c r="C33" s="20" t="str">
        <f>IF(ISNUMBER(SEARCH("Literature",'Data extraction-synthesis'!J14)),"X","")</f>
        <v/>
      </c>
      <c r="D33" s="20" t="str">
        <f>IF(ISNUMBER(SEARCH("Industry standard",'Data extraction-synthesis'!J14)),"X","")</f>
        <v/>
      </c>
      <c r="E33" s="20" t="str">
        <f>IF(ISNUMBER(SEARCH("Guidelines",'Data extraction-synthesis'!J14)),"X","")</f>
        <v/>
      </c>
      <c r="F33" s="20" t="str">
        <f>IF(ISNUMBER(SEARCH("Interviews with experts",'Data extraction-synthesis'!J14)),"X","")</f>
        <v/>
      </c>
      <c r="G33" s="20" t="str">
        <f>IF(ISNUMBER(SEARCH("Surveys with experts/expert opinion",'Data extraction-synthesis'!J14)),"X","")</f>
        <v/>
      </c>
      <c r="H33" s="20" t="str">
        <f>IF(ISNUMBER(SEARCH("Consensus meeting inputs",'Data extraction-synthesis'!J14)),"X","")</f>
        <v/>
      </c>
      <c r="I33" s="20" t="str">
        <f>IF(ISNUMBER(SEARCH("Available data",'Data extraction-synthesis'!J14)),"X","")</f>
        <v/>
      </c>
      <c r="J33" s="20" t="str">
        <f>IF(ISNUMBER(SEARCH("Field observations",'Data extraction-synthesis'!J14)),"X","")</f>
        <v/>
      </c>
      <c r="K33" s="20" t="str">
        <f>IF(ISNUMBER(SEARCH("Laboratory evaluations",'Data extraction-synthesis'!J14)),"X","")</f>
        <v/>
      </c>
      <c r="L33" s="20" t="str">
        <f>IF(ISNUMBER(SEARCH("Models",'Data extraction-synthesis'!J14)),"X","")</f>
        <v/>
      </c>
      <c r="M33" s="20" t="str">
        <f>IF(ISNUMBER(SEARCH("Early usability studies",'Data extraction-synthesis'!J14)),"X","")</f>
        <v/>
      </c>
      <c r="N33" s="20" t="str">
        <f>IF(ISNUMBER(SEARCH("No input sources reported",'Data extraction-synthesis'!J14)),"X","")</f>
        <v>X</v>
      </c>
      <c r="O33" s="20" t="str">
        <f>IF(ISNUMBER(SEARCH("N/A",'Data extraction-synthesis'!J14)),"X","")</f>
        <v/>
      </c>
      <c r="R33" s="9" t="str">
        <f t="shared" si="0"/>
        <v>N/A</v>
      </c>
    </row>
    <row r="34" spans="1:18" ht="132.6">
      <c r="A34" s="56" t="s">
        <v>53</v>
      </c>
      <c r="B34" s="19" t="s">
        <v>54</v>
      </c>
      <c r="C34" s="20" t="str">
        <f>IF(ISNUMBER(SEARCH("Literature",'Data extraction-synthesis'!J15)),"X","")</f>
        <v/>
      </c>
      <c r="D34" s="20" t="str">
        <f>IF(ISNUMBER(SEARCH("Industry standard",'Data extraction-synthesis'!J15)),"X","")</f>
        <v/>
      </c>
      <c r="E34" s="20" t="str">
        <f>IF(ISNUMBER(SEARCH("Guidelines",'Data extraction-synthesis'!J15)),"X","")</f>
        <v/>
      </c>
      <c r="F34" s="20" t="str">
        <f>IF(ISNUMBER(SEARCH("Interviews with experts",'Data extraction-synthesis'!J15)),"X","")</f>
        <v/>
      </c>
      <c r="G34" s="20" t="str">
        <f>IF(ISNUMBER(SEARCH("Surveys with experts/expert opinion",'Data extraction-synthesis'!J15)),"X","")</f>
        <v/>
      </c>
      <c r="H34" s="20" t="str">
        <f>IF(ISNUMBER(SEARCH("Consensus meeting inputs",'Data extraction-synthesis'!J15)),"X","")</f>
        <v>X</v>
      </c>
      <c r="I34" s="20" t="str">
        <f>IF(ISNUMBER(SEARCH("Available data",'Data extraction-synthesis'!J15)),"X","")</f>
        <v/>
      </c>
      <c r="J34" s="20" t="str">
        <f>IF(ISNUMBER(SEARCH("Field observations",'Data extraction-synthesis'!J15)),"X","")</f>
        <v/>
      </c>
      <c r="K34" s="20" t="str">
        <f>IF(ISNUMBER(SEARCH("Laboratory evaluations",'Data extraction-synthesis'!J15)),"X","")</f>
        <v/>
      </c>
      <c r="L34" s="20" t="str">
        <f>IF(ISNUMBER(SEARCH("Models",'Data extraction-synthesis'!J15)),"X","")</f>
        <v/>
      </c>
      <c r="M34" s="20" t="str">
        <f>IF(ISNUMBER(SEARCH("Early usability studies",'Data extraction-synthesis'!J15)),"X","")</f>
        <v/>
      </c>
      <c r="N34" s="20" t="str">
        <f>IF(ISNUMBER(SEARCH("No input sources reported",'Data extraction-synthesis'!J15)),"X","")</f>
        <v/>
      </c>
      <c r="O34" s="20" t="str">
        <f>IF(ISNUMBER(SEARCH("N/A",'Data extraction-synthesis'!J15)),"X","")</f>
        <v/>
      </c>
      <c r="R34" s="9" t="str">
        <f t="shared" si="0"/>
        <v>NO</v>
      </c>
    </row>
    <row r="35" spans="1:18" ht="66.6">
      <c r="A35" s="56" t="s">
        <v>65</v>
      </c>
      <c r="B35" s="19" t="s">
        <v>66</v>
      </c>
      <c r="C35" s="20" t="str">
        <f>IF(ISNUMBER(SEARCH("Literature",#REF!)),"X","")</f>
        <v/>
      </c>
      <c r="D35" s="20" t="str">
        <f>IF(ISNUMBER(SEARCH("Industry standard",#REF!)),"X","")</f>
        <v/>
      </c>
      <c r="E35" s="20" t="str">
        <f>IF(ISNUMBER(SEARCH("Guidelines",#REF!)),"X","")</f>
        <v/>
      </c>
      <c r="F35" s="20" t="str">
        <f>IF(ISNUMBER(SEARCH("Interviews with experts",#REF!)),"X","")</f>
        <v/>
      </c>
      <c r="G35" s="20" t="str">
        <f>IF(ISNUMBER(SEARCH("Surveys with experts/expert opinion",#REF!)),"X","")</f>
        <v/>
      </c>
      <c r="H35" s="20" t="str">
        <f>IF(ISNUMBER(SEARCH("Consensus meeting inputs",#REF!)),"X","")</f>
        <v/>
      </c>
      <c r="I35" s="20" t="str">
        <f>IF(ISNUMBER(SEARCH("Available data",#REF!)),"X","")</f>
        <v/>
      </c>
      <c r="J35" s="20" t="str">
        <f>IF(ISNUMBER(SEARCH("Field observations",#REF!)),"X","")</f>
        <v/>
      </c>
      <c r="K35" s="20" t="str">
        <f>IF(ISNUMBER(SEARCH("Laboratory evaluations",#REF!)),"X","")</f>
        <v/>
      </c>
      <c r="L35" s="20" t="str">
        <f>IF(ISNUMBER(SEARCH("Models",#REF!)),"X","")</f>
        <v/>
      </c>
      <c r="M35" s="20" t="str">
        <f>IF(ISNUMBER(SEARCH("Early usability studies",#REF!)),"X","")</f>
        <v/>
      </c>
      <c r="N35" s="20" t="str">
        <f>IF(ISNUMBER(SEARCH("No input sources reported",'Data extraction-synthesis'!J22)),"X","")</f>
        <v>X</v>
      </c>
      <c r="O35" s="20" t="str">
        <f>IF(ISNUMBER(SEARCH("N/A",#REF!)),"X","")</f>
        <v/>
      </c>
      <c r="R35" s="9" t="str">
        <f t="shared" si="0"/>
        <v>N/A</v>
      </c>
    </row>
    <row r="36" spans="1:18" ht="53.4">
      <c r="A36" s="56" t="s">
        <v>65</v>
      </c>
      <c r="B36" s="19" t="s">
        <v>67</v>
      </c>
      <c r="C36" s="20" t="str">
        <f>IF(ISNUMBER(SEARCH("Literature",'Data extraction-synthesis'!J22)),"X","")</f>
        <v/>
      </c>
      <c r="D36" s="20" t="str">
        <f>IF(ISNUMBER(SEARCH("Industry standard",'Data extraction-synthesis'!J22)),"X","")</f>
        <v/>
      </c>
      <c r="E36" s="20" t="str">
        <f>IF(ISNUMBER(SEARCH("Guidelines",'Data extraction-synthesis'!J22)),"X","")</f>
        <v/>
      </c>
      <c r="F36" s="20" t="str">
        <f>IF(ISNUMBER(SEARCH("Interviews with experts",'Data extraction-synthesis'!J22)),"X","")</f>
        <v/>
      </c>
      <c r="G36" s="20" t="str">
        <f>IF(ISNUMBER(SEARCH("Surveys with experts/expert opinion",'Data extraction-synthesis'!J22)),"X","")</f>
        <v/>
      </c>
      <c r="H36" s="20" t="str">
        <f>IF(ISNUMBER(SEARCH("Consensus meeting inputs",'Data extraction-synthesis'!J22)),"X","")</f>
        <v/>
      </c>
      <c r="I36" s="20" t="str">
        <f>IF(ISNUMBER(SEARCH("Available data",'Data extraction-synthesis'!J22)),"X","")</f>
        <v/>
      </c>
      <c r="J36" s="20" t="str">
        <f>IF(ISNUMBER(SEARCH("Field observations",'Data extraction-synthesis'!J22)),"X","")</f>
        <v/>
      </c>
      <c r="K36" s="20" t="str">
        <f>IF(ISNUMBER(SEARCH("Laboratory evaluations",'Data extraction-synthesis'!J22)),"X","")</f>
        <v/>
      </c>
      <c r="L36" s="20" t="str">
        <f>IF(ISNUMBER(SEARCH("Models",'Data extraction-synthesis'!J22)),"X","")</f>
        <v/>
      </c>
      <c r="M36" s="20" t="str">
        <f>IF(ISNUMBER(SEARCH("Early usability studies",'Data extraction-synthesis'!J22)),"X","")</f>
        <v/>
      </c>
      <c r="N36" s="20" t="str">
        <f>IF(ISNUMBER(SEARCH("No input sources reported",'Data extraction-synthesis'!J23)),"X","")</f>
        <v>X</v>
      </c>
      <c r="O36" s="20" t="str">
        <f>IF(ISNUMBER(SEARCH("N/A",'Data extraction-synthesis'!J22)),"X","")</f>
        <v/>
      </c>
      <c r="R36" s="9" t="str">
        <f t="shared" si="0"/>
        <v>N/A</v>
      </c>
    </row>
    <row r="37" spans="1:18" ht="53.4">
      <c r="A37" s="56" t="s">
        <v>65</v>
      </c>
      <c r="B37" s="19" t="s">
        <v>77</v>
      </c>
      <c r="C37" s="20" t="str">
        <f>IF(ISNUMBER(SEARCH("Literature",'Data extraction-synthesis'!J31)),"X","")</f>
        <v/>
      </c>
      <c r="D37" s="20" t="str">
        <f>IF(ISNUMBER(SEARCH("Industry standard",'Data extraction-synthesis'!J31)),"X","")</f>
        <v/>
      </c>
      <c r="E37" s="20" t="str">
        <f>IF(ISNUMBER(SEARCH("Guidelines",'Data extraction-synthesis'!J31)),"X","")</f>
        <v/>
      </c>
      <c r="F37" s="20" t="str">
        <f>IF(ISNUMBER(SEARCH("Interviews with experts",'Data extraction-synthesis'!J31)),"X","")</f>
        <v/>
      </c>
      <c r="G37" s="20" t="str">
        <f>IF(ISNUMBER(SEARCH("Surveys with experts/expert opinion",'Data extraction-synthesis'!J31)),"X","")</f>
        <v/>
      </c>
      <c r="H37" s="20" t="str">
        <f>IF(ISNUMBER(SEARCH("Consensus meeting inputs",'Data extraction-synthesis'!J31)),"X","")</f>
        <v/>
      </c>
      <c r="I37" s="20" t="str">
        <f>IF(ISNUMBER(SEARCH("Available data",'Data extraction-synthesis'!J31)),"X","")</f>
        <v/>
      </c>
      <c r="J37" s="20" t="str">
        <f>IF(ISNUMBER(SEARCH("Field observations",'Data extraction-synthesis'!J31)),"X","")</f>
        <v/>
      </c>
      <c r="K37" s="20" t="str">
        <f>IF(ISNUMBER(SEARCH("Laboratory evaluations",'Data extraction-synthesis'!J31)),"X","")</f>
        <v/>
      </c>
      <c r="L37" s="20" t="str">
        <f>IF(ISNUMBER(SEARCH("Models",'Data extraction-synthesis'!J31)),"X","")</f>
        <v/>
      </c>
      <c r="M37" s="20" t="str">
        <f>IF(ISNUMBER(SEARCH("Early usability studies",'Data extraction-synthesis'!J31)),"X","")</f>
        <v/>
      </c>
      <c r="N37" s="20" t="str">
        <f>IF(ISNUMBER(SEARCH("No input sources reported",'Data extraction-synthesis'!J31)),"X","")</f>
        <v/>
      </c>
      <c r="O37" s="20" t="str">
        <f>IF(ISNUMBER(SEARCH("N/A",'Data extraction-synthesis'!J31)),"X","")</f>
        <v>X</v>
      </c>
      <c r="R37" s="9" t="str">
        <f t="shared" si="0"/>
        <v>N/A</v>
      </c>
    </row>
    <row r="38" spans="1:18" ht="66.6">
      <c r="A38" s="56" t="s">
        <v>65</v>
      </c>
      <c r="B38" s="19" t="s">
        <v>78</v>
      </c>
      <c r="C38" s="20" t="str">
        <f>IF(ISNUMBER(SEARCH("Literature",'Data extraction-synthesis'!J32)),"X","")</f>
        <v/>
      </c>
      <c r="D38" s="20" t="str">
        <f>IF(ISNUMBER(SEARCH("Industry standard",'Data extraction-synthesis'!J32)),"X","")</f>
        <v/>
      </c>
      <c r="E38" s="20" t="str">
        <f>IF(ISNUMBER(SEARCH("Guidelines",'Data extraction-synthesis'!J32)),"X","")</f>
        <v/>
      </c>
      <c r="F38" s="20" t="str">
        <f>IF(ISNUMBER(SEARCH("Interviews with experts",'Data extraction-synthesis'!J32)),"X","")</f>
        <v/>
      </c>
      <c r="G38" s="20" t="str">
        <f>IF(ISNUMBER(SEARCH("Surveys with experts/expert opinion",'Data extraction-synthesis'!J32)),"X","")</f>
        <v/>
      </c>
      <c r="H38" s="20" t="str">
        <f>IF(ISNUMBER(SEARCH("Consensus meeting inputs",'Data extraction-synthesis'!J32)),"X","")</f>
        <v/>
      </c>
      <c r="I38" s="20" t="str">
        <f>IF(ISNUMBER(SEARCH("Available data",'Data extraction-synthesis'!J32)),"X","")</f>
        <v/>
      </c>
      <c r="J38" s="20" t="str">
        <f>IF(ISNUMBER(SEARCH("Field observations",'Data extraction-synthesis'!J32)),"X","")</f>
        <v/>
      </c>
      <c r="K38" s="20" t="str">
        <f>IF(ISNUMBER(SEARCH("Laboratory evaluations",'Data extraction-synthesis'!J32)),"X","")</f>
        <v/>
      </c>
      <c r="L38" s="20" t="str">
        <f>IF(ISNUMBER(SEARCH("Models",'Data extraction-synthesis'!J32)),"X","")</f>
        <v/>
      </c>
      <c r="M38" s="20" t="str">
        <f>IF(ISNUMBER(SEARCH("Early usability studies",'Data extraction-synthesis'!J32)),"X","")</f>
        <v/>
      </c>
      <c r="N38" s="20" t="str">
        <f>IF(ISNUMBER(SEARCH("No input sources reported",'Data extraction-synthesis'!J32)),"X","")</f>
        <v/>
      </c>
      <c r="O38" s="20" t="str">
        <f>IF(ISNUMBER(SEARCH("N/A",'Data extraction-synthesis'!J32)),"X","")</f>
        <v>X</v>
      </c>
      <c r="R38" s="9" t="str">
        <f t="shared" si="0"/>
        <v>N/A</v>
      </c>
    </row>
    <row r="39" spans="1:18" ht="40.2">
      <c r="A39" s="56" t="s">
        <v>75</v>
      </c>
      <c r="B39" s="19" t="s">
        <v>76</v>
      </c>
      <c r="C39" s="20" t="str">
        <f>IF(ISNUMBER(SEARCH("Literature",'Data extraction-synthesis'!J30)),"X","")</f>
        <v/>
      </c>
      <c r="D39" s="20" t="str">
        <f>IF(ISNUMBER(SEARCH("Industry standard",'Data extraction-synthesis'!J30)),"X","")</f>
        <v/>
      </c>
      <c r="E39" s="20" t="str">
        <f>IF(ISNUMBER(SEARCH("Guidelines",'Data extraction-synthesis'!J30)),"X","")</f>
        <v/>
      </c>
      <c r="F39" s="20" t="str">
        <f>IF(ISNUMBER(SEARCH("Interviews with experts",'Data extraction-synthesis'!J30)),"X","")</f>
        <v/>
      </c>
      <c r="G39" s="20" t="str">
        <f>IF(ISNUMBER(SEARCH("Surveys with experts/expert opinion",'Data extraction-synthesis'!J30)),"X","")</f>
        <v/>
      </c>
      <c r="H39" s="20" t="str">
        <f>IF(ISNUMBER(SEARCH("Consensus meeting inputs",'Data extraction-synthesis'!J30)),"X","")</f>
        <v/>
      </c>
      <c r="I39" s="20" t="str">
        <f>IF(ISNUMBER(SEARCH("Available data",'Data extraction-synthesis'!J30)),"X","")</f>
        <v/>
      </c>
      <c r="J39" s="20" t="str">
        <f>IF(ISNUMBER(SEARCH("Field observations",'Data extraction-synthesis'!J30)),"X","")</f>
        <v/>
      </c>
      <c r="K39" s="20" t="str">
        <f>IF(ISNUMBER(SEARCH("Laboratory evaluations",'Data extraction-synthesis'!J30)),"X","")</f>
        <v/>
      </c>
      <c r="L39" s="20" t="str">
        <f>IF(ISNUMBER(SEARCH("Models",'Data extraction-synthesis'!J30)),"X","")</f>
        <v/>
      </c>
      <c r="M39" s="20" t="str">
        <f>IF(ISNUMBER(SEARCH("Early usability studies",'Data extraction-synthesis'!J30)),"X","")</f>
        <v/>
      </c>
      <c r="N39" s="20" t="str">
        <f>IF(ISNUMBER(SEARCH("No input sources reported",'Data extraction-synthesis'!J30)),"X","")</f>
        <v/>
      </c>
      <c r="O39" s="20" t="str">
        <f>IF(ISNUMBER(SEARCH("N/A",'Data extraction-synthesis'!J30)),"X","")</f>
        <v>X</v>
      </c>
      <c r="R39" s="9" t="str">
        <f t="shared" si="0"/>
        <v>N/A</v>
      </c>
    </row>
    <row r="40" spans="1:18" ht="79.8">
      <c r="A40" s="56" t="s">
        <v>36</v>
      </c>
      <c r="B40" s="22" t="s">
        <v>68</v>
      </c>
      <c r="C40" s="20" t="str">
        <f>IF(ISNUMBER(SEARCH("Literature",'Data extraction-synthesis'!J24)),"X","")</f>
        <v>X</v>
      </c>
      <c r="D40" s="20" t="str">
        <f>IF(ISNUMBER(SEARCH("Industry standard",'Data extraction-synthesis'!J24)),"X","")</f>
        <v/>
      </c>
      <c r="E40" s="20" t="str">
        <f>IF(ISNUMBER(SEARCH("Guidelines",'Data extraction-synthesis'!J24)),"X","")</f>
        <v/>
      </c>
      <c r="F40" s="20" t="str">
        <f>IF(ISNUMBER(SEARCH("Interviews with experts",'Data extraction-synthesis'!J24)),"X","")</f>
        <v/>
      </c>
      <c r="G40" s="20" t="str">
        <f>IF(ISNUMBER(SEARCH("Surveys with experts/expert opinion",'Data extraction-synthesis'!J24)),"X","")</f>
        <v>X</v>
      </c>
      <c r="H40" s="20" t="str">
        <f>IF(ISNUMBER(SEARCH("Consensus meeting inputs",'Data extraction-synthesis'!J24)),"X","")</f>
        <v/>
      </c>
      <c r="I40" s="20" t="str">
        <f>IF(ISNUMBER(SEARCH("Available data",'Data extraction-synthesis'!J24)),"X","")</f>
        <v/>
      </c>
      <c r="J40" s="20" t="str">
        <f>IF(ISNUMBER(SEARCH("Field observations",'Data extraction-synthesis'!J24)),"X","")</f>
        <v/>
      </c>
      <c r="K40" s="20" t="str">
        <f>IF(ISNUMBER(SEARCH("Laboratory evaluations",'Data extraction-synthesis'!J24)),"X","")</f>
        <v/>
      </c>
      <c r="L40" s="20" t="str">
        <f>IF(ISNUMBER(SEARCH("Models",'Data extraction-synthesis'!J24)),"X","")</f>
        <v>X</v>
      </c>
      <c r="M40" s="20" t="str">
        <f>IF(ISNUMBER(SEARCH("Early usability studies",'Data extraction-synthesis'!J24)),"X","")</f>
        <v/>
      </c>
      <c r="N40" s="20" t="str">
        <f>IF(ISNUMBER(SEARCH("No input sources reported",'Data extraction-synthesis'!J24)),"X","")</f>
        <v/>
      </c>
      <c r="O40" s="20" t="str">
        <f>IF(ISNUMBER(SEARCH("N/A",'Data extraction-synthesis'!J24)),"X","")</f>
        <v/>
      </c>
      <c r="R40" s="9" t="str">
        <f t="shared" si="0"/>
        <v>YES</v>
      </c>
    </row>
    <row r="41" spans="1:18" ht="132.6">
      <c r="A41" s="56" t="s">
        <v>36</v>
      </c>
      <c r="B41" s="19" t="s">
        <v>69</v>
      </c>
      <c r="C41" s="20" t="str">
        <f>IF(ISNUMBER(SEARCH("Literature",'Data extraction-synthesis'!J25)),"X","")</f>
        <v/>
      </c>
      <c r="D41" s="20" t="str">
        <f>IF(ISNUMBER(SEARCH("Industry standard",'Data extraction-synthesis'!J25)),"X","")</f>
        <v/>
      </c>
      <c r="E41" s="20" t="str">
        <f>IF(ISNUMBER(SEARCH("Guidelines",'Data extraction-synthesis'!J25)),"X","")</f>
        <v/>
      </c>
      <c r="F41" s="20" t="str">
        <f>IF(ISNUMBER(SEARCH("Interviews with experts",'Data extraction-synthesis'!J25)),"X","")</f>
        <v/>
      </c>
      <c r="G41" s="20" t="str">
        <f>IF(ISNUMBER(SEARCH("Surveys with experts/expert opinion",'Data extraction-synthesis'!J25)),"X","")</f>
        <v/>
      </c>
      <c r="H41" s="20" t="str">
        <f>IF(ISNUMBER(SEARCH("Consensus meeting inputs",'Data extraction-synthesis'!J25)),"X","")</f>
        <v/>
      </c>
      <c r="I41" s="20" t="str">
        <f>IF(ISNUMBER(SEARCH("Available data",'Data extraction-synthesis'!J25)),"X","")</f>
        <v/>
      </c>
      <c r="J41" s="20" t="str">
        <f>IF(ISNUMBER(SEARCH("Field observations",'Data extraction-synthesis'!J25)),"X","")</f>
        <v/>
      </c>
      <c r="K41" s="20" t="str">
        <f>IF(ISNUMBER(SEARCH("Laboratory evaluations",'Data extraction-synthesis'!J25)),"X","")</f>
        <v/>
      </c>
      <c r="L41" s="20" t="str">
        <f>IF(ISNUMBER(SEARCH("Models",'Data extraction-synthesis'!J25)),"X","")</f>
        <v/>
      </c>
      <c r="M41" s="20" t="str">
        <f>IF(ISNUMBER(SEARCH("Early usability studies",'Data extraction-synthesis'!J25)),"X","")</f>
        <v/>
      </c>
      <c r="N41" s="20" t="str">
        <f>IF(ISNUMBER(SEARCH("No input sources reported",'Data extraction-synthesis'!J25)),"X","")</f>
        <v/>
      </c>
      <c r="O41" s="20" t="str">
        <f>IF(ISNUMBER(SEARCH("N/A",'Data extraction-synthesis'!J25)),"X","")</f>
        <v>X</v>
      </c>
      <c r="R41" s="9" t="str">
        <f t="shared" si="0"/>
        <v>N/A</v>
      </c>
    </row>
    <row r="42" spans="1:18" ht="145.8">
      <c r="A42" s="56" t="s">
        <v>36</v>
      </c>
      <c r="B42" s="19" t="s">
        <v>70</v>
      </c>
      <c r="C42" s="20" t="str">
        <f>IF(ISNUMBER(SEARCH("Literature",'Data extraction-synthesis'!J26)),"X","")</f>
        <v/>
      </c>
      <c r="D42" s="20" t="str">
        <f>IF(ISNUMBER(SEARCH("Industry standard",'Data extraction-synthesis'!J26)),"X","")</f>
        <v/>
      </c>
      <c r="E42" s="20" t="str">
        <f>IF(ISNUMBER(SEARCH("Guidelines",'Data extraction-synthesis'!J26)),"X","")</f>
        <v/>
      </c>
      <c r="F42" s="20" t="str">
        <f>IF(ISNUMBER(SEARCH("Interviews with experts",'Data extraction-synthesis'!J26)),"X","")</f>
        <v/>
      </c>
      <c r="G42" s="20" t="str">
        <f>IF(ISNUMBER(SEARCH("Surveys with experts/expert opinion",'Data extraction-synthesis'!J26)),"X","")</f>
        <v/>
      </c>
      <c r="H42" s="20" t="str">
        <f>IF(ISNUMBER(SEARCH("Consensus meeting inputs",'Data extraction-synthesis'!J26)),"X","")</f>
        <v/>
      </c>
      <c r="I42" s="20" t="str">
        <f>IF(ISNUMBER(SEARCH("Available data",'Data extraction-synthesis'!J26)),"X","")</f>
        <v/>
      </c>
      <c r="J42" s="20" t="str">
        <f>IF(ISNUMBER(SEARCH("Field observations",'Data extraction-synthesis'!J26)),"X","")</f>
        <v/>
      </c>
      <c r="K42" s="20" t="str">
        <f>IF(ISNUMBER(SEARCH("Laboratory evaluations",'Data extraction-synthesis'!J26)),"X","")</f>
        <v/>
      </c>
      <c r="L42" s="20" t="str">
        <f>IF(ISNUMBER(SEARCH("Models",'Data extraction-synthesis'!J26)),"X","")</f>
        <v/>
      </c>
      <c r="M42" s="20" t="str">
        <f>IF(ISNUMBER(SEARCH("Early usability studies",'Data extraction-synthesis'!J26)),"X","")</f>
        <v/>
      </c>
      <c r="N42" s="20" t="str">
        <f>IF(ISNUMBER(SEARCH("No input sources reported",'Data extraction-synthesis'!J26)),"X","")</f>
        <v>X</v>
      </c>
      <c r="O42" s="20" t="str">
        <f>IF(ISNUMBER(SEARCH("N/A",'Data extraction-synthesis'!J26)),"X","")</f>
        <v/>
      </c>
      <c r="R42" s="9" t="str">
        <f t="shared" si="0"/>
        <v>N/A</v>
      </c>
    </row>
    <row r="43" spans="1:18" ht="106.2">
      <c r="A43" s="56" t="s">
        <v>36</v>
      </c>
      <c r="B43" s="19" t="s">
        <v>71</v>
      </c>
      <c r="C43" s="20" t="str">
        <f>IF(ISNUMBER(SEARCH("Literature",'Data extraction-synthesis'!J27)),"X","")</f>
        <v/>
      </c>
      <c r="D43" s="20" t="str">
        <f>IF(ISNUMBER(SEARCH("Industry standard",'Data extraction-synthesis'!J27)),"X","")</f>
        <v/>
      </c>
      <c r="E43" s="20" t="str">
        <f>IF(ISNUMBER(SEARCH("Guidelines",'Data extraction-synthesis'!J27)),"X","")</f>
        <v/>
      </c>
      <c r="F43" s="20" t="str">
        <f>IF(ISNUMBER(SEARCH("Interviews with experts",'Data extraction-synthesis'!J27)),"X","")</f>
        <v/>
      </c>
      <c r="G43" s="20" t="str">
        <f>IF(ISNUMBER(SEARCH("Surveys with experts/expert opinion",'Data extraction-synthesis'!J27)),"X","")</f>
        <v/>
      </c>
      <c r="H43" s="20" t="str">
        <f>IF(ISNUMBER(SEARCH("Consensus meeting inputs",'Data extraction-synthesis'!J27)),"X","")</f>
        <v/>
      </c>
      <c r="I43" s="20" t="str">
        <f>IF(ISNUMBER(SEARCH("Available data",'Data extraction-synthesis'!J27)),"X","")</f>
        <v/>
      </c>
      <c r="J43" s="20" t="str">
        <f>IF(ISNUMBER(SEARCH("Field observations",'Data extraction-synthesis'!J27)),"X","")</f>
        <v/>
      </c>
      <c r="K43" s="20" t="str">
        <f>IF(ISNUMBER(SEARCH("Laboratory evaluations",'Data extraction-synthesis'!J27)),"X","")</f>
        <v/>
      </c>
      <c r="L43" s="20" t="str">
        <f>IF(ISNUMBER(SEARCH("Models",'Data extraction-synthesis'!J27)),"X","")</f>
        <v/>
      </c>
      <c r="M43" s="20" t="str">
        <f>IF(ISNUMBER(SEARCH("Early usability studies",'Data extraction-synthesis'!J27)),"X","")</f>
        <v/>
      </c>
      <c r="N43" s="20" t="str">
        <f>IF(ISNUMBER(SEARCH("No input sources reported",'Data extraction-synthesis'!J27)),"X","")</f>
        <v>X</v>
      </c>
      <c r="O43" s="20" t="str">
        <f>IF(ISNUMBER(SEARCH("N/A",'Data extraction-synthesis'!J27)),"X","")</f>
        <v/>
      </c>
      <c r="R43" s="9" t="str">
        <f t="shared" si="0"/>
        <v>N/A</v>
      </c>
    </row>
    <row r="44" spans="1:18" ht="53.4">
      <c r="A44" s="56" t="s">
        <v>36</v>
      </c>
      <c r="B44" s="19" t="s">
        <v>72</v>
      </c>
      <c r="C44" s="20" t="str">
        <f>IF(ISNUMBER(SEARCH("Literature",'Data extraction-synthesis'!J28)),"X","")</f>
        <v/>
      </c>
      <c r="D44" s="20" t="str">
        <f>IF(ISNUMBER(SEARCH("Industry standard",'Data extraction-synthesis'!J28)),"X","")</f>
        <v/>
      </c>
      <c r="E44" s="20" t="str">
        <f>IF(ISNUMBER(SEARCH("Guidelines",'Data extraction-synthesis'!J28)),"X","")</f>
        <v/>
      </c>
      <c r="F44" s="20" t="str">
        <f>IF(ISNUMBER(SEARCH("Interviews with experts",'Data extraction-synthesis'!J28)),"X","")</f>
        <v/>
      </c>
      <c r="G44" s="20" t="str">
        <f>IF(ISNUMBER(SEARCH("Surveys with experts/expert opinion",'Data extraction-synthesis'!J28)),"X","")</f>
        <v/>
      </c>
      <c r="H44" s="20" t="str">
        <f>IF(ISNUMBER(SEARCH("Consensus meeting inputs",'Data extraction-synthesis'!J28)),"X","")</f>
        <v/>
      </c>
      <c r="I44" s="20" t="str">
        <f>IF(ISNUMBER(SEARCH("Available data",'Data extraction-synthesis'!J28)),"X","")</f>
        <v/>
      </c>
      <c r="J44" s="20" t="str">
        <f>IF(ISNUMBER(SEARCH("Field observations",'Data extraction-synthesis'!J28)),"X","")</f>
        <v/>
      </c>
      <c r="K44" s="20" t="str">
        <f>IF(ISNUMBER(SEARCH("Laboratory evaluations",'Data extraction-synthesis'!J28)),"X","")</f>
        <v/>
      </c>
      <c r="L44" s="20" t="str">
        <f>IF(ISNUMBER(SEARCH("Models",'Data extraction-synthesis'!J28)),"X","")</f>
        <v/>
      </c>
      <c r="M44" s="20" t="str">
        <f>IF(ISNUMBER(SEARCH("Early usability studies",'Data extraction-synthesis'!J28)),"X","")</f>
        <v/>
      </c>
      <c r="N44" s="20" t="str">
        <f>IF(ISNUMBER(SEARCH("No input sources reported",'Data extraction-synthesis'!J28)),"X","")</f>
        <v/>
      </c>
      <c r="O44" s="20" t="str">
        <f>IF(ISNUMBER(SEARCH("N/A",'Data extraction-synthesis'!J28)),"X","")</f>
        <v>X</v>
      </c>
      <c r="R44" s="9" t="str">
        <f t="shared" si="0"/>
        <v>N/A</v>
      </c>
    </row>
    <row r="45" spans="1:18" ht="79.8">
      <c r="A45" s="56" t="s">
        <v>36</v>
      </c>
      <c r="B45" s="19" t="s">
        <v>73</v>
      </c>
      <c r="C45" s="20" t="str">
        <f>IF(ISNUMBER(SEARCH("Literature",'Data extraction-synthesis'!J29)),"X","")</f>
        <v/>
      </c>
      <c r="D45" s="20" t="str">
        <f>IF(ISNUMBER(SEARCH("Industry standard",'Data extraction-synthesis'!J29)),"X","")</f>
        <v/>
      </c>
      <c r="E45" s="20" t="str">
        <f>IF(ISNUMBER(SEARCH("Guidelines",'Data extraction-synthesis'!J29)),"X","")</f>
        <v/>
      </c>
      <c r="F45" s="20" t="str">
        <f>IF(ISNUMBER(SEARCH("Interviews with experts",'Data extraction-synthesis'!J29)),"X","")</f>
        <v/>
      </c>
      <c r="G45" s="20" t="str">
        <f>IF(ISNUMBER(SEARCH("Surveys with experts/expert opinion",'Data extraction-synthesis'!J29)),"X","")</f>
        <v/>
      </c>
      <c r="H45" s="20" t="str">
        <f>IF(ISNUMBER(SEARCH("Consensus meeting inputs",'Data extraction-synthesis'!J29)),"X","")</f>
        <v/>
      </c>
      <c r="I45" s="20" t="str">
        <f>IF(ISNUMBER(SEARCH("Available data",'Data extraction-synthesis'!J29)),"X","")</f>
        <v/>
      </c>
      <c r="J45" s="20" t="str">
        <f>IF(ISNUMBER(SEARCH("Field observations",'Data extraction-synthesis'!J29)),"X","")</f>
        <v/>
      </c>
      <c r="K45" s="20" t="str">
        <f>IF(ISNUMBER(SEARCH("Laboratory evaluations",'Data extraction-synthesis'!J29)),"X","")</f>
        <v/>
      </c>
      <c r="L45" s="20" t="str">
        <f>IF(ISNUMBER(SEARCH("Models",'Data extraction-synthesis'!J29)),"X","")</f>
        <v/>
      </c>
      <c r="M45" s="20" t="str">
        <f>IF(ISNUMBER(SEARCH("Early usability studies",'Data extraction-synthesis'!J29)),"X","")</f>
        <v/>
      </c>
      <c r="N45" s="20" t="str">
        <f>IF(ISNUMBER(SEARCH("No input sources reported",'Data extraction-synthesis'!J29)),"X","")</f>
        <v/>
      </c>
      <c r="O45" s="20" t="str">
        <f>IF(ISNUMBER(SEARCH("N/A",'Data extraction-synthesis'!J29)),"X","")</f>
        <v>X</v>
      </c>
      <c r="R45" s="9" t="str">
        <f t="shared" si="0"/>
        <v>N/A</v>
      </c>
    </row>
    <row r="46" spans="1:18" ht="40.2">
      <c r="A46" s="56" t="s">
        <v>347</v>
      </c>
      <c r="B46" s="19" t="s">
        <v>348</v>
      </c>
      <c r="C46" s="20" t="str">
        <f>IF(ISNUMBER(SEARCH("Literature",'Data extraction-synthesis'!J45)),"X","")</f>
        <v/>
      </c>
      <c r="D46" s="20" t="str">
        <f>IF(ISNUMBER(SEARCH("Industry standard",'Data extraction-synthesis'!J45)),"X","")</f>
        <v/>
      </c>
      <c r="E46" s="20" t="str">
        <f>IF(ISNUMBER(SEARCH("Guidelines",'Data extraction-synthesis'!J45)),"X","")</f>
        <v/>
      </c>
      <c r="F46" s="20" t="str">
        <f>IF(ISNUMBER(SEARCH("Interviews with experts",'Data extraction-synthesis'!J45)),"X","")</f>
        <v/>
      </c>
      <c r="G46" s="20" t="str">
        <f>IF(ISNUMBER(SEARCH("Surveys with experts/expert opinion",'Data extraction-synthesis'!J45)),"X","")</f>
        <v/>
      </c>
      <c r="H46" s="20" t="str">
        <f>IF(ISNUMBER(SEARCH("Consensus meeting inputs",'Data extraction-synthesis'!J45)),"X","")</f>
        <v/>
      </c>
      <c r="I46" s="20" t="str">
        <f>IF(ISNUMBER(SEARCH("Available data",'Data extraction-synthesis'!J45)),"X","")</f>
        <v/>
      </c>
      <c r="J46" s="20" t="str">
        <f>IF(ISNUMBER(SEARCH("Field observations",'Data extraction-synthesis'!J45)),"X","")</f>
        <v/>
      </c>
      <c r="K46" s="20" t="str">
        <f>IF(ISNUMBER(SEARCH("Laboratory evaluations",'Data extraction-synthesis'!J45)),"X","")</f>
        <v/>
      </c>
      <c r="L46" s="20" t="str">
        <f>IF(ISNUMBER(SEARCH("Models",'Data extraction-synthesis'!J45)),"X","")</f>
        <v/>
      </c>
      <c r="M46" s="20" t="str">
        <f>IF(ISNUMBER(SEARCH("Early usability studies",'Data extraction-synthesis'!J45)),"X","")</f>
        <v/>
      </c>
      <c r="N46" s="20" t="str">
        <f>IF(ISNUMBER(SEARCH("No input sources reported",'Data extraction-synthesis'!J45)),"X","")</f>
        <v>X</v>
      </c>
      <c r="O46" s="20" t="str">
        <f>IF(ISNUMBER(SEARCH("N/A",'Data extraction-synthesis'!J45)),"X","")</f>
        <v/>
      </c>
      <c r="R46" s="9" t="str">
        <f t="shared" si="0"/>
        <v>N/A</v>
      </c>
    </row>
    <row r="47" spans="2:15" ht="15.75">
      <c r="B47" s="23" t="s">
        <v>180</v>
      </c>
      <c r="C47" s="20">
        <f aca="true" t="shared" si="1" ref="C47:O47">COUNTIF(C3:C46,"X")</f>
        <v>15</v>
      </c>
      <c r="D47" s="20">
        <f t="shared" si="1"/>
        <v>0</v>
      </c>
      <c r="E47" s="20">
        <f t="shared" si="1"/>
        <v>0</v>
      </c>
      <c r="F47" s="20">
        <f t="shared" si="1"/>
        <v>0</v>
      </c>
      <c r="G47" s="20">
        <f t="shared" si="1"/>
        <v>6</v>
      </c>
      <c r="H47" s="20">
        <f t="shared" si="1"/>
        <v>1</v>
      </c>
      <c r="I47" s="20">
        <f t="shared" si="1"/>
        <v>0</v>
      </c>
      <c r="J47" s="20">
        <f t="shared" si="1"/>
        <v>0</v>
      </c>
      <c r="K47" s="20">
        <f t="shared" si="1"/>
        <v>1</v>
      </c>
      <c r="L47" s="20">
        <f t="shared" si="1"/>
        <v>6</v>
      </c>
      <c r="M47" s="20">
        <f t="shared" si="1"/>
        <v>0</v>
      </c>
      <c r="N47" s="20">
        <f t="shared" si="1"/>
        <v>16</v>
      </c>
      <c r="O47" s="20">
        <f t="shared" si="1"/>
        <v>10</v>
      </c>
    </row>
    <row r="48" spans="1:15" ht="15.75">
      <c r="A48" s="56"/>
      <c r="C48" s="28">
        <f aca="true" t="shared" si="2" ref="C48:O48">C47/44</f>
        <v>0.3409090909090909</v>
      </c>
      <c r="D48" s="28">
        <f t="shared" si="2"/>
        <v>0</v>
      </c>
      <c r="E48" s="28">
        <f t="shared" si="2"/>
        <v>0</v>
      </c>
      <c r="F48" s="28">
        <f t="shared" si="2"/>
        <v>0</v>
      </c>
      <c r="G48" s="28">
        <f t="shared" si="2"/>
        <v>0.13636363636363635</v>
      </c>
      <c r="H48" s="28">
        <f t="shared" si="2"/>
        <v>0.022727272727272728</v>
      </c>
      <c r="I48" s="28">
        <f t="shared" si="2"/>
        <v>0</v>
      </c>
      <c r="J48" s="28">
        <f t="shared" si="2"/>
        <v>0</v>
      </c>
      <c r="K48" s="28">
        <f t="shared" si="2"/>
        <v>0.022727272727272728</v>
      </c>
      <c r="L48" s="28">
        <f t="shared" si="2"/>
        <v>0.13636363636363635</v>
      </c>
      <c r="M48" s="28">
        <f t="shared" si="2"/>
        <v>0</v>
      </c>
      <c r="N48" s="28">
        <f t="shared" si="2"/>
        <v>0.36363636363636365</v>
      </c>
      <c r="O48" s="28">
        <f t="shared" si="2"/>
        <v>0.22727272727272727</v>
      </c>
    </row>
    <row r="49" spans="2:5" ht="48.75" customHeight="1" hidden="1">
      <c r="B49" s="54" t="s">
        <v>272</v>
      </c>
      <c r="E49" s="21"/>
    </row>
    <row r="50" spans="2:15" ht="28.5" customHeight="1" hidden="1">
      <c r="B50" s="54" t="s">
        <v>271</v>
      </c>
      <c r="C50" s="25" t="str">
        <f>IF(C47=C49,"","YES")</f>
        <v>YES</v>
      </c>
      <c r="D50" s="25" t="str">
        <f aca="true" t="shared" si="3" ref="D50:O50">IF(D47=D49,"","YES")</f>
        <v/>
      </c>
      <c r="E50" s="25" t="str">
        <f t="shared" si="3"/>
        <v/>
      </c>
      <c r="F50" s="25" t="str">
        <f t="shared" si="3"/>
        <v/>
      </c>
      <c r="G50" s="25" t="str">
        <f t="shared" si="3"/>
        <v>YES</v>
      </c>
      <c r="H50" s="25" t="str">
        <f t="shared" si="3"/>
        <v>YES</v>
      </c>
      <c r="I50" s="25" t="str">
        <f t="shared" si="3"/>
        <v/>
      </c>
      <c r="J50" s="25" t="str">
        <f t="shared" si="3"/>
        <v/>
      </c>
      <c r="K50" s="25" t="str">
        <f t="shared" si="3"/>
        <v>YES</v>
      </c>
      <c r="L50" s="25" t="str">
        <f t="shared" si="3"/>
        <v>YES</v>
      </c>
      <c r="M50" s="25" t="str">
        <f t="shared" si="3"/>
        <v/>
      </c>
      <c r="N50" s="25" t="str">
        <f t="shared" si="3"/>
        <v>YES</v>
      </c>
      <c r="O50" s="25" t="str">
        <f t="shared" si="3"/>
        <v>YES</v>
      </c>
    </row>
    <row r="51" spans="3:6" ht="15.75" hidden="1">
      <c r="C51" s="26" t="s">
        <v>181</v>
      </c>
      <c r="D51" s="26"/>
      <c r="E51" s="26"/>
      <c r="F51" s="26"/>
    </row>
    <row r="52" spans="3:14" ht="15.75" hidden="1">
      <c r="C52" s="44">
        <f>C47/20</f>
        <v>0.75</v>
      </c>
      <c r="D52" s="44">
        <f aca="true" t="shared" si="4" ref="D52:N52">D47/20</f>
        <v>0</v>
      </c>
      <c r="E52" s="44">
        <f t="shared" si="4"/>
        <v>0</v>
      </c>
      <c r="F52" s="44">
        <f t="shared" si="4"/>
        <v>0</v>
      </c>
      <c r="G52" s="44">
        <f t="shared" si="4"/>
        <v>0.3</v>
      </c>
      <c r="H52" s="44">
        <f t="shared" si="4"/>
        <v>0.05</v>
      </c>
      <c r="I52" s="44">
        <f t="shared" si="4"/>
        <v>0</v>
      </c>
      <c r="J52" s="44">
        <f t="shared" si="4"/>
        <v>0</v>
      </c>
      <c r="K52" s="44">
        <f t="shared" si="4"/>
        <v>0.05</v>
      </c>
      <c r="L52" s="44">
        <f t="shared" si="4"/>
        <v>0.3</v>
      </c>
      <c r="M52" s="44">
        <f t="shared" si="4"/>
        <v>0</v>
      </c>
      <c r="N52" s="44">
        <f t="shared" si="4"/>
        <v>0.8</v>
      </c>
    </row>
    <row r="53" ht="15.75" hidden="1"/>
    <row r="54" spans="3:15" ht="15.75">
      <c r="C54" s="193" t="s">
        <v>446</v>
      </c>
      <c r="D54" s="193"/>
      <c r="E54" s="193"/>
      <c r="F54" s="193"/>
      <c r="G54" s="193"/>
      <c r="H54" s="193"/>
      <c r="I54" s="193"/>
      <c r="J54" s="193"/>
      <c r="K54" s="193"/>
      <c r="L54" s="193"/>
      <c r="M54" s="193"/>
      <c r="N54" s="193"/>
      <c r="O54" s="193"/>
    </row>
    <row r="55" spans="3:15" ht="15.75">
      <c r="C55">
        <v>12</v>
      </c>
      <c r="D55">
        <v>0</v>
      </c>
      <c r="E55">
        <v>0</v>
      </c>
      <c r="F55">
        <v>0</v>
      </c>
      <c r="G55">
        <v>4</v>
      </c>
      <c r="H55">
        <v>0</v>
      </c>
      <c r="I55">
        <v>2</v>
      </c>
      <c r="J55">
        <v>0</v>
      </c>
      <c r="K55">
        <v>1</v>
      </c>
      <c r="L55">
        <v>2</v>
      </c>
      <c r="M55">
        <v>1</v>
      </c>
      <c r="N55">
        <v>18</v>
      </c>
      <c r="O55">
        <v>9</v>
      </c>
    </row>
    <row r="56" spans="3:15" ht="15.75">
      <c r="C56" s="44">
        <v>0.2727272727272727</v>
      </c>
      <c r="D56" s="44">
        <v>0</v>
      </c>
      <c r="E56" s="44">
        <v>0</v>
      </c>
      <c r="F56" s="44">
        <v>0</v>
      </c>
      <c r="G56" s="44">
        <v>0.09090909090909091</v>
      </c>
      <c r="H56" s="44">
        <v>0</v>
      </c>
      <c r="I56" s="44">
        <v>0.045454545454545456</v>
      </c>
      <c r="J56" s="44">
        <v>0</v>
      </c>
      <c r="K56" s="44">
        <v>0.022727272727272728</v>
      </c>
      <c r="L56" s="44">
        <v>0.045454545454545456</v>
      </c>
      <c r="M56" s="44">
        <v>0.022727272727272728</v>
      </c>
      <c r="N56" s="44">
        <v>0.4090909090909091</v>
      </c>
      <c r="O56" s="44">
        <v>0.20454545454545456</v>
      </c>
    </row>
  </sheetData>
  <sheetProtection sheet="1" objects="1" scenarios="1"/>
  <mergeCells count="2">
    <mergeCell ref="C1:O1"/>
    <mergeCell ref="C54:O54"/>
  </mergeCells>
  <conditionalFormatting sqref="C50:O50">
    <cfRule type="containsText" priority="14" dxfId="0" operator="containsText" text="YES">
      <formula>NOT(ISERROR(SEARCH("YES",C50)))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B48"/>
  <sheetViews>
    <sheetView zoomScale="80" zoomScaleNormal="80" workbookViewId="0" topLeftCell="A1">
      <pane xSplit="2" ySplit="2" topLeftCell="F45" activePane="bottomRight" state="frozen"/>
      <selection pane="topRight" activeCell="B1" sqref="B1"/>
      <selection pane="bottomLeft" activeCell="A3" sqref="A3"/>
      <selection pane="bottomRight" activeCell="K38" sqref="K38"/>
    </sheetView>
  </sheetViews>
  <sheetFormatPr defaultColWidth="9.00390625" defaultRowHeight="15.75"/>
  <cols>
    <col min="1" max="1" width="13.625" style="0" customWidth="1"/>
    <col min="2" max="2" width="16.00390625" style="50" customWidth="1"/>
    <col min="3" max="3" width="11.50390625" style="0" customWidth="1"/>
    <col min="4" max="4" width="11.625" style="0" customWidth="1"/>
    <col min="5" max="5" width="14.375" style="0" customWidth="1"/>
    <col min="8" max="8" width="10.875" style="0" customWidth="1"/>
    <col min="9" max="9" width="12.50390625" style="0" customWidth="1"/>
    <col min="10" max="10" width="13.125" style="0" customWidth="1"/>
    <col min="12" max="12" width="9.375" style="0" customWidth="1"/>
    <col min="14" max="14" width="12.625" style="0" customWidth="1"/>
    <col min="15" max="15" width="13.125" style="0" customWidth="1"/>
    <col min="17" max="17" width="13.875" style="0" customWidth="1"/>
    <col min="19" max="19" width="10.625" style="0" customWidth="1"/>
    <col min="20" max="20" width="13.625" style="0" customWidth="1"/>
    <col min="21" max="21" width="11.375" style="0" customWidth="1"/>
    <col min="22" max="22" width="12.125" style="0" customWidth="1"/>
    <col min="23" max="23" width="11.625" style="0" customWidth="1"/>
    <col min="27" max="27" width="13.875" style="0" customWidth="1"/>
  </cols>
  <sheetData>
    <row r="1" spans="3:28" ht="48" customHeight="1">
      <c r="C1" s="189" t="s">
        <v>451</v>
      </c>
      <c r="D1" s="190"/>
      <c r="E1" s="190"/>
      <c r="F1" s="190"/>
      <c r="G1" s="190"/>
      <c r="H1" s="190"/>
      <c r="I1" s="190"/>
      <c r="J1" s="190"/>
      <c r="K1" s="190"/>
      <c r="L1" s="190"/>
      <c r="M1" s="190"/>
      <c r="N1" s="190"/>
      <c r="O1" s="190"/>
      <c r="P1" s="190"/>
      <c r="Q1" s="190"/>
      <c r="R1" s="190"/>
      <c r="S1" s="190"/>
      <c r="T1" s="190"/>
      <c r="U1" s="190"/>
      <c r="V1" s="190"/>
      <c r="W1" s="190"/>
      <c r="X1" s="190"/>
      <c r="Y1" s="190"/>
      <c r="Z1" s="190"/>
      <c r="AA1" s="190"/>
      <c r="AB1" s="190"/>
    </row>
    <row r="2" spans="1:28" ht="72">
      <c r="A2" s="87" t="s">
        <v>447</v>
      </c>
      <c r="B2" s="87" t="s">
        <v>2</v>
      </c>
      <c r="C2" s="18" t="s">
        <v>108</v>
      </c>
      <c r="D2" s="18" t="s">
        <v>111</v>
      </c>
      <c r="E2" s="18" t="s">
        <v>114</v>
      </c>
      <c r="F2" s="18" t="s">
        <v>116</v>
      </c>
      <c r="G2" s="18" t="s">
        <v>118</v>
      </c>
      <c r="H2" s="18" t="s">
        <v>120</v>
      </c>
      <c r="I2" s="18" t="s">
        <v>124</v>
      </c>
      <c r="J2" s="18" t="s">
        <v>127</v>
      </c>
      <c r="K2" s="18" t="s">
        <v>130</v>
      </c>
      <c r="L2" s="18" t="s">
        <v>133</v>
      </c>
      <c r="M2" s="18" t="s">
        <v>185</v>
      </c>
      <c r="N2" s="18" t="s">
        <v>137</v>
      </c>
      <c r="O2" s="18" t="s">
        <v>139</v>
      </c>
      <c r="P2" s="18" t="s">
        <v>186</v>
      </c>
      <c r="Q2" s="18" t="s">
        <v>187</v>
      </c>
      <c r="R2" s="18" t="s">
        <v>141</v>
      </c>
      <c r="S2" s="18" t="s">
        <v>142</v>
      </c>
      <c r="T2" s="18" t="s">
        <v>144</v>
      </c>
      <c r="U2" s="18" t="s">
        <v>146</v>
      </c>
      <c r="V2" s="18" t="s">
        <v>147</v>
      </c>
      <c r="W2" s="18" t="s">
        <v>149</v>
      </c>
      <c r="X2" s="18" t="s">
        <v>150</v>
      </c>
      <c r="Y2" s="18" t="s">
        <v>151</v>
      </c>
      <c r="Z2" s="18" t="s">
        <v>153</v>
      </c>
      <c r="AA2" s="18" t="s">
        <v>155</v>
      </c>
      <c r="AB2" s="18" t="s">
        <v>28</v>
      </c>
    </row>
    <row r="3" spans="1:28" ht="53.4">
      <c r="A3" s="56" t="s">
        <v>11</v>
      </c>
      <c r="B3" s="22" t="s">
        <v>12</v>
      </c>
      <c r="C3" s="52" t="str">
        <f>IF(ISNUMBER(SEARCH("Consensus/public meeting",'Data extraction-synthesis'!L2)),"X","")</f>
        <v>X</v>
      </c>
      <c r="D3" s="52" t="str">
        <f>IF(ISNUMBER(SEARCH("Meeting with experts/stakeholders",'Data extraction-synthesis'!L2)),"X","")</f>
        <v>X</v>
      </c>
      <c r="E3" s="52" t="str">
        <f>IF(ISNUMBER(SEARCH("Feedback from the consultation (e.g. survey, meeting, expert opinion) is incorporated into the final TPPs",'Data extraction-synthesis'!L2)),"X","")</f>
        <v>X</v>
      </c>
      <c r="F3" s="52" t="str">
        <f>IF(ISNUMBER(SEARCH("Mapping",'Data extraction-synthesis'!L2)),"X","")</f>
        <v/>
      </c>
      <c r="G3" s="52" t="str">
        <f>IF(ISNUMBER(SEARCH("Market analyses",'Data extraction-synthesis'!L2)),"X","")</f>
        <v/>
      </c>
      <c r="H3" s="52" t="str">
        <f>IF(ISNUMBER(SEARCH("Literature search",'Data extraction-synthesis'!L2)),"X","")</f>
        <v/>
      </c>
      <c r="I3" s="52" t="str">
        <f>IF(ISNUMBER(SEARCH("Survey to retrieve input relevant for TPP",'Data extraction-synthesis'!L2)),"X","")</f>
        <v/>
      </c>
      <c r="J3" s="52" t="str">
        <f>IF(ISNUMBER(SEARCH("Landscaping exercise",'Data extraction-synthesis'!L2)),"X","")</f>
        <v/>
      </c>
      <c r="K3" s="52" t="str">
        <f>IF(ISNUMBER(SEARCH("Draft TPP",'Data extraction-synthesis'!L2)),"X","")</f>
        <v>X</v>
      </c>
      <c r="L3" s="52" t="str">
        <f>IF(ISNUMBER(SEARCH("Round of revisions of TPP",'Data extraction-synthesis'!L2)),"X","")</f>
        <v/>
      </c>
      <c r="M3" s="52" t="str">
        <f>IF(ISNUMBER(SEARCH("Draft shortened TPP",'Data extraction-synthesis'!L2)),"X","")</f>
        <v/>
      </c>
      <c r="N3" s="52" t="str">
        <f>IF(ISNUMBER(SEARCH("Presentation of shortened TPP to large stakeholder audience",'Data extraction-synthesis'!L2)),"X","")</f>
        <v/>
      </c>
      <c r="O3" s="52" t="str">
        <f>IF(ISNUMBER(SEARCH("Identification of most important needs",'Data extraction-synthesis'!L2)),"X","")</f>
        <v/>
      </c>
      <c r="P3" s="52" t="str">
        <f>IF(ISNUMBER(SEARCH("Prioritization exercise",'Data extraction-synthesis'!L2)),"X","")</f>
        <v/>
      </c>
      <c r="Q3" s="52" t="str">
        <f>IF(ISNUMBER(SEARCH("Delphi-like approach to gauge stakeholders’ agreement with the TPP",'Data extraction-synthesis'!L2)),"X","")</f>
        <v/>
      </c>
      <c r="R3" s="52" t="str">
        <f>IF(ISNUMBER(SEARCH("Data analysis",'Data extraction-synthesis'!L2)),"X","")</f>
        <v/>
      </c>
      <c r="S3" s="52" t="str">
        <f>IF(ISNUMBER(SEARCH("Definition problem statement/use case  ",'Data extraction-synthesis'!L2)),"X","")</f>
        <v/>
      </c>
      <c r="T3" s="52" t="str">
        <f>IF(ISNUMBER(SEARCH("Identification of stakeholders to involve in draft TPP ",'Data extraction-synthesis'!L2)),"X","")</f>
        <v/>
      </c>
      <c r="U3" s="52" t="str">
        <f>IF(ISNUMBER(SEARCH("Definition TPP domains ",'Data extraction-synthesis'!L2)),"X","")</f>
        <v/>
      </c>
      <c r="V3" s="52" t="str">
        <f>IF(ISNUMBER(SEARCH("Survey to measure stakeholder’s preferences and agreement ",'Data extraction-synthesis'!L2)),"X","")</f>
        <v/>
      </c>
      <c r="W3" s="52" t="str">
        <f>IF(ISNUMBER(SEARCH("Reviewing available literature and data",'Data extraction-synthesis'!L2)),"X","")</f>
        <v/>
      </c>
      <c r="X3" s="52" t="str">
        <f>IF(ISNUMBER(SEARCH("Defining scope TPP ",'Data extraction-synthesis'!L2)),"X","")</f>
        <v/>
      </c>
      <c r="Y3" s="52" t="str">
        <f>IF(ISNUMBER(SEARCH("Interview with stakeholders",'Data extraction-synthesis'!L2)),"X","")</f>
        <v/>
      </c>
      <c r="Z3" s="52" t="str">
        <f>IF(ISNUMBER(SEARCH("Field research ",'Data extraction-synthesis'!L2)),"X","")</f>
        <v/>
      </c>
      <c r="AA3" s="52" t="str">
        <f>IF(ISNUMBER(SEARCH("Consolidation of findings",'Data extraction-synthesis'!L2)),"X","")</f>
        <v/>
      </c>
      <c r="AB3" s="52" t="str">
        <f>IF(ISNUMBER(SEARCH("N/A",'Data extraction-synthesis'!L2)),"X","")</f>
        <v/>
      </c>
    </row>
    <row r="4" spans="1:28" ht="93">
      <c r="A4" s="56" t="s">
        <v>19</v>
      </c>
      <c r="B4" s="22" t="s">
        <v>20</v>
      </c>
      <c r="C4" s="52" t="str">
        <f>IF(ISNUMBER(SEARCH("Consensus/public meeting",'Data extraction-synthesis'!L3)),"X","")</f>
        <v>X</v>
      </c>
      <c r="D4" s="52" t="str">
        <f>IF(ISNUMBER(SEARCH("Meeting with experts/stakeholders",'Data extraction-synthesis'!L3)),"X","")</f>
        <v/>
      </c>
      <c r="E4" s="52" t="str">
        <f>IF(ISNUMBER(SEARCH("Feedback from the consultation (e.g. survey, meeting, expert opinion) is incorporated into the final TPPs",'Data extraction-synthesis'!L3)),"X","")</f>
        <v/>
      </c>
      <c r="F4" s="52" t="str">
        <f>IF(ISNUMBER(SEARCH("Mapping",'Data extraction-synthesis'!L3)),"X","")</f>
        <v>X</v>
      </c>
      <c r="G4" s="52" t="str">
        <f>IF(ISNUMBER(SEARCH("Market analyses",'Data extraction-synthesis'!L3)),"X","")</f>
        <v/>
      </c>
      <c r="H4" s="52" t="str">
        <f>IF(ISNUMBER(SEARCH("Literature search",'Data extraction-synthesis'!L3)),"X","")</f>
        <v/>
      </c>
      <c r="I4" s="52" t="str">
        <f>IF(ISNUMBER(SEARCH("Survey to retrieve input relevant for TPP",'Data extraction-synthesis'!L3)),"X","")</f>
        <v/>
      </c>
      <c r="J4" s="52" t="str">
        <f>IF(ISNUMBER(SEARCH("Landscaping exercise",'Data extraction-synthesis'!L3)),"X","")</f>
        <v>X</v>
      </c>
      <c r="K4" s="52" t="str">
        <f>IF(ISNUMBER(SEARCH("Draft TPP",'Data extraction-synthesis'!L3)),"X","")</f>
        <v>X</v>
      </c>
      <c r="L4" s="52" t="str">
        <f>IF(ISNUMBER(SEARCH("Round of revisions of TPP",'Data extraction-synthesis'!L3)),"X","")</f>
        <v>X</v>
      </c>
      <c r="M4" s="52" t="str">
        <f>IF(ISNUMBER(SEARCH("Draft shortened TPP",'Data extraction-synthesis'!L3)),"X","")</f>
        <v>X</v>
      </c>
      <c r="N4" s="52" t="str">
        <f>IF(ISNUMBER(SEARCH("Presentation of shortened TPP to large stakeholder audience",'Data extraction-synthesis'!L3)),"X","")</f>
        <v>X</v>
      </c>
      <c r="O4" s="52" t="str">
        <f>IF(ISNUMBER(SEARCH("Identification of most important needs",'Data extraction-synthesis'!L3)),"X","")</f>
        <v/>
      </c>
      <c r="P4" s="52" t="str">
        <f>IF(ISNUMBER(SEARCH("Prioritization exercise",'Data extraction-synthesis'!L3)),"X","")</f>
        <v/>
      </c>
      <c r="Q4" s="52" t="str">
        <f>IF(ISNUMBER(SEARCH("Delphi-like approach to gauge stakeholders’ agreement with the TPP",'Data extraction-synthesis'!L3)),"X","")</f>
        <v/>
      </c>
      <c r="R4" s="52" t="str">
        <f>IF(ISNUMBER(SEARCH("Data analysis",'Data extraction-synthesis'!L3)),"X","")</f>
        <v/>
      </c>
      <c r="S4" s="52" t="str">
        <f>IF(ISNUMBER(SEARCH("Definition problem statement/use case  ",'Data extraction-synthesis'!L3)),"X","")</f>
        <v/>
      </c>
      <c r="T4" s="52" t="str">
        <f>IF(ISNUMBER(SEARCH("Identification of stakeholders to involve in draft TPP ",'Data extraction-synthesis'!L3)),"X","")</f>
        <v/>
      </c>
      <c r="U4" s="52" t="str">
        <f>IF(ISNUMBER(SEARCH("Definition TPP domains ",'Data extraction-synthesis'!L3)),"X","")</f>
        <v/>
      </c>
      <c r="V4" s="52" t="str">
        <f>IF(ISNUMBER(SEARCH("Survey to measure stakeholder’s preferences and agreement ",'Data extraction-synthesis'!L3)),"X","")</f>
        <v>X</v>
      </c>
      <c r="W4" s="52" t="str">
        <f>IF(ISNUMBER(SEARCH("Reviewing available literature and data",'Data extraction-synthesis'!L3)),"X","")</f>
        <v/>
      </c>
      <c r="X4" s="52" t="str">
        <f>IF(ISNUMBER(SEARCH("Defining scope TPP ",'Data extraction-synthesis'!L3)),"X","")</f>
        <v/>
      </c>
      <c r="Y4" s="52" t="str">
        <f>IF(ISNUMBER(SEARCH("Interview with stakeholders",'Data extraction-synthesis'!L3)),"X","")</f>
        <v/>
      </c>
      <c r="Z4" s="52" t="str">
        <f>IF(ISNUMBER(SEARCH("Field research ",'Data extraction-synthesis'!L3)),"X","")</f>
        <v/>
      </c>
      <c r="AA4" s="52" t="str">
        <f>IF(ISNUMBER(SEARCH("Consolidation of findings",'Data extraction-synthesis'!L3)),"X","")</f>
        <v/>
      </c>
      <c r="AB4" s="52" t="str">
        <f>IF(ISNUMBER(SEARCH("N/A",'Data extraction-synthesis'!L3)),"X","")</f>
        <v/>
      </c>
    </row>
    <row r="5" spans="1:28" ht="53.4">
      <c r="A5" s="56" t="s">
        <v>22</v>
      </c>
      <c r="B5" s="22" t="s">
        <v>23</v>
      </c>
      <c r="C5" s="52" t="str">
        <f>IF(ISNUMBER(SEARCH("Consensus/public meeting",'Data extraction-synthesis'!L4)),"X","")</f>
        <v>X</v>
      </c>
      <c r="D5" s="52" t="str">
        <f>IF(ISNUMBER(SEARCH("Meeting with experts/stakeholders",'Data extraction-synthesis'!L4)),"X","")</f>
        <v/>
      </c>
      <c r="E5" s="52" t="str">
        <f>IF(ISNUMBER(SEARCH("Feedback from the consultation (e.g. survey, meeting, expert opinion) is incorporated into the final TPPs",'Data extraction-synthesis'!L4)),"X","")</f>
        <v/>
      </c>
      <c r="F5" s="52" t="str">
        <f>IF(ISNUMBER(SEARCH("Mapping",'Data extraction-synthesis'!L4)),"X","")</f>
        <v/>
      </c>
      <c r="G5" s="52" t="str">
        <f>IF(ISNUMBER(SEARCH("Market analyses",'Data extraction-synthesis'!L4)),"X","")</f>
        <v/>
      </c>
      <c r="H5" s="52" t="str">
        <f>IF(ISNUMBER(SEARCH("Literature search",'Data extraction-synthesis'!L4)),"X","")</f>
        <v/>
      </c>
      <c r="I5" s="52" t="str">
        <f>IF(ISNUMBER(SEARCH("Survey to retrieve input relevant for TPP",'Data extraction-synthesis'!L4)),"X","")</f>
        <v/>
      </c>
      <c r="J5" s="52" t="str">
        <f>IF(ISNUMBER(SEARCH("Landscaping exercise",'Data extraction-synthesis'!L4)),"X","")</f>
        <v/>
      </c>
      <c r="K5" s="52" t="str">
        <f>IF(ISNUMBER(SEARCH("Draft TPP",'Data extraction-synthesis'!L4)),"X","")</f>
        <v>X</v>
      </c>
      <c r="L5" s="52" t="str">
        <f>IF(ISNUMBER(SEARCH("Round of revisions of TPP",'Data extraction-synthesis'!L4)),"X","")</f>
        <v>X</v>
      </c>
      <c r="M5" s="52" t="str">
        <f>IF(ISNUMBER(SEARCH("Draft shortened TPP",'Data extraction-synthesis'!L4)),"X","")</f>
        <v>X</v>
      </c>
      <c r="N5" s="52" t="str">
        <f>IF(ISNUMBER(SEARCH("Presentation of shortened TPP to large stakeholder audience",'Data extraction-synthesis'!L4)),"X","")</f>
        <v>X</v>
      </c>
      <c r="O5" s="52" t="str">
        <f>IF(ISNUMBER(SEARCH("Identification of most important needs",'Data extraction-synthesis'!L4)),"X","")</f>
        <v/>
      </c>
      <c r="P5" s="52" t="str">
        <f>IF(ISNUMBER(SEARCH("Prioritization exercise",'Data extraction-synthesis'!L4)),"X","")</f>
        <v>X</v>
      </c>
      <c r="Q5" s="52" t="str">
        <f>IF(ISNUMBER(SEARCH("Delphi-like approach to gauge stakeholders’ agreement with the TPP",'Data extraction-synthesis'!L4)),"X","")</f>
        <v>X</v>
      </c>
      <c r="R5" s="52" t="str">
        <f>IF(ISNUMBER(SEARCH("Data analysis",'Data extraction-synthesis'!L4)),"X","")</f>
        <v/>
      </c>
      <c r="S5" s="52" t="str">
        <f>IF(ISNUMBER(SEARCH("Definition problem statement/use case  ",'Data extraction-synthesis'!L4)),"X","")</f>
        <v>X</v>
      </c>
      <c r="T5" s="52" t="str">
        <f>IF(ISNUMBER(SEARCH("Identification of stakeholders to involve in draft TPP ",'Data extraction-synthesis'!L4)),"X","")</f>
        <v/>
      </c>
      <c r="U5" s="52" t="str">
        <f>IF(ISNUMBER(SEARCH("Definition TPP domains ",'Data extraction-synthesis'!L4)),"X","")</f>
        <v/>
      </c>
      <c r="V5" s="52" t="str">
        <f>IF(ISNUMBER(SEARCH("Survey to measure stakeholder’s preferences and agreement ",'Data extraction-synthesis'!L4)),"X","")</f>
        <v/>
      </c>
      <c r="W5" s="52" t="str">
        <f>IF(ISNUMBER(SEARCH("Reviewing available literature and data",'Data extraction-synthesis'!L4)),"X","")</f>
        <v/>
      </c>
      <c r="X5" s="52" t="str">
        <f>IF(ISNUMBER(SEARCH("Defining scope TPP ",'Data extraction-synthesis'!L4)),"X","")</f>
        <v/>
      </c>
      <c r="Y5" s="52" t="str">
        <f>IF(ISNUMBER(SEARCH("Interview with stakeholders",'Data extraction-synthesis'!L4)),"X","")</f>
        <v/>
      </c>
      <c r="Z5" s="52" t="str">
        <f>IF(ISNUMBER(SEARCH("Field research ",'Data extraction-synthesis'!L4)),"X","")</f>
        <v/>
      </c>
      <c r="AA5" s="52" t="str">
        <f>IF(ISNUMBER(SEARCH("Consolidation of findings",'Data extraction-synthesis'!L4)),"X","")</f>
        <v/>
      </c>
      <c r="AB5" s="52" t="str">
        <f>IF(ISNUMBER(SEARCH("N/A",'Data extraction-synthesis'!L4)),"X","")</f>
        <v/>
      </c>
    </row>
    <row r="6" spans="1:28" ht="93">
      <c r="A6" s="56" t="s">
        <v>25</v>
      </c>
      <c r="B6" s="22" t="s">
        <v>26</v>
      </c>
      <c r="C6" s="52" t="str">
        <f>IF(ISNUMBER(SEARCH("Consensus/public meeting",'Data extraction-synthesis'!L5)),"X","")</f>
        <v/>
      </c>
      <c r="D6" s="52" t="str">
        <f>IF(ISNUMBER(SEARCH("Meeting with experts/stakeholders",'Data extraction-synthesis'!L5)),"X","")</f>
        <v/>
      </c>
      <c r="E6" s="52" t="str">
        <f>IF(ISNUMBER(SEARCH("Feedback from the consultation (e.g. survey, meeting, expert opinion) is incorporated into the final TPPs",'Data extraction-synthesis'!L5)),"X","")</f>
        <v/>
      </c>
      <c r="F6" s="52" t="str">
        <f>IF(ISNUMBER(SEARCH("Mapping",'Data extraction-synthesis'!L5)),"X","")</f>
        <v/>
      </c>
      <c r="G6" s="52" t="str">
        <f>IF(ISNUMBER(SEARCH("Market analyses",'Data extraction-synthesis'!L5)),"X","")</f>
        <v/>
      </c>
      <c r="H6" s="52" t="str">
        <f>IF(ISNUMBER(SEARCH("Literature search",'Data extraction-synthesis'!L5)),"X","")</f>
        <v/>
      </c>
      <c r="I6" s="52" t="str">
        <f>IF(ISNUMBER(SEARCH("Survey to retrieve input relevant for TPP",'Data extraction-synthesis'!L5)),"X","")</f>
        <v/>
      </c>
      <c r="J6" s="52" t="str">
        <f>IF(ISNUMBER(SEARCH("Landscaping exercise",'Data extraction-synthesis'!L5)),"X","")</f>
        <v/>
      </c>
      <c r="K6" s="52" t="str">
        <f>IF(ISNUMBER(SEARCH("Draft TPP",'Data extraction-synthesis'!L5)),"X","")</f>
        <v/>
      </c>
      <c r="L6" s="52" t="str">
        <f>IF(ISNUMBER(SEARCH("Round of revisions of TPP",'Data extraction-synthesis'!L5)),"X","")</f>
        <v/>
      </c>
      <c r="M6" s="52" t="str">
        <f>IF(ISNUMBER(SEARCH("Draft shortened TPP",'Data extraction-synthesis'!L5)),"X","")</f>
        <v/>
      </c>
      <c r="N6" s="52" t="str">
        <f>IF(ISNUMBER(SEARCH("Presentation of shortened TPP to large stakeholder audience",'Data extraction-synthesis'!L5)),"X","")</f>
        <v/>
      </c>
      <c r="O6" s="52" t="str">
        <f>IF(ISNUMBER(SEARCH("Identification of most important needs",'Data extraction-synthesis'!L5)),"X","")</f>
        <v/>
      </c>
      <c r="P6" s="52" t="str">
        <f>IF(ISNUMBER(SEARCH("Prioritization exercise",'Data extraction-synthesis'!L5)),"X","")</f>
        <v/>
      </c>
      <c r="Q6" s="52" t="str">
        <f>IF(ISNUMBER(SEARCH("Delphi-like approach to gauge stakeholders’ agreement with the TPP",'Data extraction-synthesis'!L5)),"X","")</f>
        <v/>
      </c>
      <c r="R6" s="52" t="str">
        <f>IF(ISNUMBER(SEARCH("Data analysis",'Data extraction-synthesis'!L5)),"X","")</f>
        <v/>
      </c>
      <c r="S6" s="52" t="str">
        <f>IF(ISNUMBER(SEARCH("Definition problem statement/use case  ",'Data extraction-synthesis'!L5)),"X","")</f>
        <v/>
      </c>
      <c r="T6" s="52" t="str">
        <f>IF(ISNUMBER(SEARCH("Identification of stakeholders to involve in draft TPP ",'Data extraction-synthesis'!L5)),"X","")</f>
        <v/>
      </c>
      <c r="U6" s="52" t="str">
        <f>IF(ISNUMBER(SEARCH("Definition TPP domains ",'Data extraction-synthesis'!L5)),"X","")</f>
        <v/>
      </c>
      <c r="V6" s="52" t="str">
        <f>IF(ISNUMBER(SEARCH("Survey to measure stakeholder’s preferences and agreement ",'Data extraction-synthesis'!L5)),"X","")</f>
        <v/>
      </c>
      <c r="W6" s="52" t="str">
        <f>IF(ISNUMBER(SEARCH("Reviewing available literature and data",'Data extraction-synthesis'!L5)),"X","")</f>
        <v/>
      </c>
      <c r="X6" s="52" t="str">
        <f>IF(ISNUMBER(SEARCH("Defining scope TPP ",'Data extraction-synthesis'!L5)),"X","")</f>
        <v/>
      </c>
      <c r="Y6" s="52" t="str">
        <f>IF(ISNUMBER(SEARCH("Interview with stakeholders",'Data extraction-synthesis'!L5)),"X","")</f>
        <v/>
      </c>
      <c r="Z6" s="52" t="str">
        <f>IF(ISNUMBER(SEARCH("Field research ",'Data extraction-synthesis'!L5)),"X","")</f>
        <v/>
      </c>
      <c r="AA6" s="52" t="str">
        <f>IF(ISNUMBER(SEARCH("Consolidation of findings",'Data extraction-synthesis'!L5)),"X","")</f>
        <v/>
      </c>
      <c r="AB6" s="52" t="str">
        <f>IF(ISNUMBER(SEARCH("N/A",'Data extraction-synthesis'!L5)),"X","")</f>
        <v>X</v>
      </c>
    </row>
    <row r="7" spans="1:28" ht="93">
      <c r="A7" s="56" t="s">
        <v>31</v>
      </c>
      <c r="B7" s="22" t="s">
        <v>32</v>
      </c>
      <c r="C7" s="52" t="str">
        <f>IF(ISNUMBER(SEARCH("Consensus/public meeting",'Data extraction-synthesis'!L6)),"X","")</f>
        <v/>
      </c>
      <c r="D7" s="52" t="str">
        <f>IF(ISNUMBER(SEARCH("Meeting with experts/stakeholders",'Data extraction-synthesis'!L6)),"X","")</f>
        <v/>
      </c>
      <c r="E7" s="52" t="str">
        <f>IF(ISNUMBER(SEARCH("Feedback from the consultation (e.g. survey, meeting, expert opinion) is incorporated into the final TPPs",'Data extraction-synthesis'!L6)),"X","")</f>
        <v/>
      </c>
      <c r="F7" s="52" t="str">
        <f>IF(ISNUMBER(SEARCH("Mapping",'Data extraction-synthesis'!L6)),"X","")</f>
        <v/>
      </c>
      <c r="G7" s="52" t="str">
        <f>IF(ISNUMBER(SEARCH("Market analyses",'Data extraction-synthesis'!L6)),"X","")</f>
        <v/>
      </c>
      <c r="H7" s="52" t="str">
        <f>IF(ISNUMBER(SEARCH("Literature search",'Data extraction-synthesis'!L6)),"X","")</f>
        <v/>
      </c>
      <c r="I7" s="52" t="str">
        <f>IF(ISNUMBER(SEARCH("Survey to retrieve input relevant for TPP",'Data extraction-synthesis'!L6)),"X","")</f>
        <v/>
      </c>
      <c r="J7" s="52" t="str">
        <f>IF(ISNUMBER(SEARCH("Landscaping exercise",'Data extraction-synthesis'!L6)),"X","")</f>
        <v/>
      </c>
      <c r="K7" s="52" t="str">
        <f>IF(ISNUMBER(SEARCH("Draft TPP",'Data extraction-synthesis'!L6)),"X","")</f>
        <v>X</v>
      </c>
      <c r="L7" s="52" t="str">
        <f>IF(ISNUMBER(SEARCH("Round of revisions of TPP",'Data extraction-synthesis'!L6)),"X","")</f>
        <v>X</v>
      </c>
      <c r="M7" s="52" t="str">
        <f>IF(ISNUMBER(SEARCH("Draft shortened TPP",'Data extraction-synthesis'!L6)),"X","")</f>
        <v/>
      </c>
      <c r="N7" s="52" t="str">
        <f>IF(ISNUMBER(SEARCH("Presentation of shortened TPP to large stakeholder audience",'Data extraction-synthesis'!L6)),"X","")</f>
        <v/>
      </c>
      <c r="O7" s="52" t="str">
        <f>IF(ISNUMBER(SEARCH("Identification of most important needs",'Data extraction-synthesis'!L6)),"X","")</f>
        <v/>
      </c>
      <c r="P7" s="52" t="str">
        <f>IF(ISNUMBER(SEARCH("Prioritization exercise",'Data extraction-synthesis'!L6)),"X","")</f>
        <v/>
      </c>
      <c r="Q7" s="52" t="str">
        <f>IF(ISNUMBER(SEARCH("Delphi-like approach to gauge stakeholders’ agreement with the TPP",'Data extraction-synthesis'!L6)),"X","")</f>
        <v/>
      </c>
      <c r="R7" s="52" t="str">
        <f>IF(ISNUMBER(SEARCH("Data analysis",'Data extraction-synthesis'!L6)),"X","")</f>
        <v/>
      </c>
      <c r="S7" s="52" t="str">
        <f>IF(ISNUMBER(SEARCH("Definition problem statement/use case  ",'Data extraction-synthesis'!L6)),"X","")</f>
        <v>X</v>
      </c>
      <c r="T7" s="52" t="str">
        <f>IF(ISNUMBER(SEARCH("Identification of stakeholders to involve in draft TPP ",'Data extraction-synthesis'!L6)),"X","")</f>
        <v/>
      </c>
      <c r="U7" s="52" t="str">
        <f>IF(ISNUMBER(SEARCH("Definition TPP domains ",'Data extraction-synthesis'!L6)),"X","")</f>
        <v/>
      </c>
      <c r="V7" s="52" t="str">
        <f>IF(ISNUMBER(SEARCH("Survey to measure stakeholder’s preferences and agreement ",'Data extraction-synthesis'!L6)),"X","")</f>
        <v>X</v>
      </c>
      <c r="W7" s="52" t="str">
        <f>IF(ISNUMBER(SEARCH("Reviewing available literature and data",'Data extraction-synthesis'!L6)),"X","")</f>
        <v/>
      </c>
      <c r="X7" s="52" t="str">
        <f>IF(ISNUMBER(SEARCH("Defining scope TPP ",'Data extraction-synthesis'!L6)),"X","")</f>
        <v/>
      </c>
      <c r="Y7" s="52" t="str">
        <f>IF(ISNUMBER(SEARCH("Interview with stakeholders",'Data extraction-synthesis'!L6)),"X","")</f>
        <v/>
      </c>
      <c r="Z7" s="52" t="str">
        <f>IF(ISNUMBER(SEARCH("Field research ",'Data extraction-synthesis'!L6)),"X","")</f>
        <v/>
      </c>
      <c r="AA7" s="52" t="str">
        <f>IF(ISNUMBER(SEARCH("Consolidation of findings",'Data extraction-synthesis'!L6)),"X","")</f>
        <v/>
      </c>
      <c r="AB7" s="52" t="str">
        <f>IF(ISNUMBER(SEARCH("N/A",'Data extraction-synthesis'!L6)),"X","")</f>
        <v/>
      </c>
    </row>
    <row r="8" spans="1:28" ht="159">
      <c r="A8" s="56" t="s">
        <v>34</v>
      </c>
      <c r="B8" s="22" t="s">
        <v>35</v>
      </c>
      <c r="C8" s="52" t="str">
        <f>IF(ISNUMBER(SEARCH("Consensus/public meeting",'Data extraction-synthesis'!L7)),"X","")</f>
        <v>X</v>
      </c>
      <c r="D8" s="52" t="str">
        <f>IF(ISNUMBER(SEARCH("Meeting with experts/stakeholders",'Data extraction-synthesis'!L7)),"X","")</f>
        <v/>
      </c>
      <c r="E8" s="52" t="str">
        <f>IF(ISNUMBER(SEARCH("Feedback from the consultation (e.g. survey, meeting, expert opinion) is incorporated into the final TPPs",'Data extraction-synthesis'!L7)),"X","")</f>
        <v>X</v>
      </c>
      <c r="F8" s="52" t="str">
        <f>IF(ISNUMBER(SEARCH("Mapping",'Data extraction-synthesis'!L7)),"X","")</f>
        <v/>
      </c>
      <c r="G8" s="52" t="str">
        <f>IF(ISNUMBER(SEARCH("Market analyses",'Data extraction-synthesis'!L7)),"X","")</f>
        <v/>
      </c>
      <c r="H8" s="52" t="str">
        <f>IF(ISNUMBER(SEARCH("Literature search",'Data extraction-synthesis'!L7)),"X","")</f>
        <v/>
      </c>
      <c r="I8" s="52" t="str">
        <f>IF(ISNUMBER(SEARCH("Survey to retrieve input relevant for TPP",'Data extraction-synthesis'!L7)),"X","")</f>
        <v/>
      </c>
      <c r="J8" s="52" t="str">
        <f>IF(ISNUMBER(SEARCH("Landscaping exercise",'Data extraction-synthesis'!L7)),"X","")</f>
        <v>X</v>
      </c>
      <c r="K8" s="52" t="str">
        <f>IF(ISNUMBER(SEARCH("Draft TPP",'Data extraction-synthesis'!L7)),"X","")</f>
        <v>X</v>
      </c>
      <c r="L8" s="52" t="str">
        <f>IF(ISNUMBER(SEARCH("Round of revisions of TPP",'Data extraction-synthesis'!L7)),"X","")</f>
        <v>X</v>
      </c>
      <c r="M8" s="52" t="str">
        <f>IF(ISNUMBER(SEARCH("Draft shortened TPP",'Data extraction-synthesis'!L7)),"X","")</f>
        <v/>
      </c>
      <c r="N8" s="52" t="str">
        <f>IF(ISNUMBER(SEARCH("Presentation of shortened TPP to large stakeholder audience",'Data extraction-synthesis'!L7)),"X","")</f>
        <v/>
      </c>
      <c r="O8" s="52" t="str">
        <f>IF(ISNUMBER(SEARCH("Identification of most important needs",'Data extraction-synthesis'!L7)),"X","")</f>
        <v/>
      </c>
      <c r="P8" s="52"/>
      <c r="Q8" s="52" t="str">
        <f>IF(ISNUMBER(SEARCH("Delphi-like approach to gauge stakeholders’ agreement with the TPP",'Data extraction-synthesis'!L7)),"X","")</f>
        <v>X</v>
      </c>
      <c r="R8" s="52" t="str">
        <f>IF(ISNUMBER(SEARCH("Data analysis",'Data extraction-synthesis'!L7)),"X","")</f>
        <v/>
      </c>
      <c r="S8" s="52" t="str">
        <f>IF(ISNUMBER(SEARCH("Definition problem statement/use case  ",'Data extraction-synthesis'!L7)),"X","")</f>
        <v/>
      </c>
      <c r="T8" s="52" t="str">
        <f>IF(ISNUMBER(SEARCH("Identification of stakeholders to involve in draft TPP ",'Data extraction-synthesis'!L7)),"X","")</f>
        <v/>
      </c>
      <c r="U8" s="52" t="str">
        <f>IF(ISNUMBER(SEARCH("Definition TPP domains ",'Data extraction-synthesis'!L7)),"X","")</f>
        <v/>
      </c>
      <c r="V8" s="52" t="str">
        <f>IF(ISNUMBER(SEARCH("Survey to measure stakeholder’s preferences and agreement ",'Data extraction-synthesis'!L7)),"X","")</f>
        <v/>
      </c>
      <c r="W8" s="52" t="str">
        <f>IF(ISNUMBER(SEARCH("Reviewing available literature and data",'Data extraction-synthesis'!L7)),"X","")</f>
        <v/>
      </c>
      <c r="X8" s="52" t="str">
        <f>IF(ISNUMBER(SEARCH("Defining scope TPP ",'Data extraction-synthesis'!L7)),"X","")</f>
        <v/>
      </c>
      <c r="Y8" s="52" t="str">
        <f>IF(ISNUMBER(SEARCH("Interview with stakeholders",'Data extraction-synthesis'!L7)),"X","")</f>
        <v/>
      </c>
      <c r="Z8" s="52" t="str">
        <f>IF(ISNUMBER(SEARCH("Field research ",'Data extraction-synthesis'!L7)),"X","")</f>
        <v/>
      </c>
      <c r="AA8" s="52" t="str">
        <f>IF(ISNUMBER(SEARCH("Consolidation of findings",'Data extraction-synthesis'!L7)),"X","")</f>
        <v/>
      </c>
      <c r="AB8" s="52" t="str">
        <f>IF(ISNUMBER(SEARCH("N/A",'Data extraction-synthesis'!L7)),"X","")</f>
        <v/>
      </c>
    </row>
    <row r="9" spans="1:28" ht="106.2">
      <c r="A9" s="56" t="s">
        <v>36</v>
      </c>
      <c r="B9" s="22" t="s">
        <v>37</v>
      </c>
      <c r="C9" s="52" t="str">
        <f>IF(ISNUMBER(SEARCH("Consensus/public meeting",'Data extraction-synthesis'!L8)),"X","")</f>
        <v>X</v>
      </c>
      <c r="D9" s="52" t="str">
        <f>IF(ISNUMBER(SEARCH("Meeting with experts/stakeholders",'Data extraction-synthesis'!L8)),"X","")</f>
        <v/>
      </c>
      <c r="E9" s="52" t="str">
        <f>IF(ISNUMBER(SEARCH("Feedback from the consultation (e.g. survey, meeting, expert opinion) is incorporated into the final TPPs",'Data extraction-synthesis'!L8)),"X","")</f>
        <v/>
      </c>
      <c r="F9" s="52" t="str">
        <f>IF(ISNUMBER(SEARCH("Mapping",'Data extraction-synthesis'!L8)),"X","")</f>
        <v/>
      </c>
      <c r="G9" s="52" t="str">
        <f>IF(ISNUMBER(SEARCH("Market analyses",'Data extraction-synthesis'!L8)),"X","")</f>
        <v/>
      </c>
      <c r="H9" s="52" t="str">
        <f>IF(ISNUMBER(SEARCH("Literature search",'Data extraction-synthesis'!L8)),"X","")</f>
        <v/>
      </c>
      <c r="I9" s="52" t="str">
        <f>IF(ISNUMBER(SEARCH("Survey to retrieve input relevant for TPP",'Data extraction-synthesis'!L8)),"X","")</f>
        <v/>
      </c>
      <c r="J9" s="52" t="str">
        <f>IF(ISNUMBER(SEARCH("Landscaping exercise",'Data extraction-synthesis'!L8)),"X","")</f>
        <v/>
      </c>
      <c r="K9" s="52" t="str">
        <f>IF(ISNUMBER(SEARCH("Draft TPP",'Data extraction-synthesis'!L8)),"X","")</f>
        <v>X</v>
      </c>
      <c r="L9" s="52" t="str">
        <f>IF(ISNUMBER(SEARCH("Round of revisions of TPP",'Data extraction-synthesis'!L8)),"X","")</f>
        <v/>
      </c>
      <c r="M9" s="52" t="str">
        <f>IF(ISNUMBER(SEARCH("Draft shortened TPP",'Data extraction-synthesis'!L8)),"X","")</f>
        <v>X</v>
      </c>
      <c r="N9" s="52" t="str">
        <f>IF(ISNUMBER(SEARCH("Presentation of shortened TPP to large stakeholder audience",'Data extraction-synthesis'!L8)),"X","")</f>
        <v/>
      </c>
      <c r="O9" s="52" t="str">
        <f>IF(ISNUMBER(SEARCH("Identification of most important needs",'Data extraction-synthesis'!L8)),"X","")</f>
        <v/>
      </c>
      <c r="P9" s="52" t="str">
        <f>IF(ISNUMBER(SEARCH("Prioritization exercise",'Data extraction-synthesis'!L8)),"X","")</f>
        <v>X</v>
      </c>
      <c r="Q9" s="52" t="str">
        <f>IF(ISNUMBER(SEARCH("Delphi-like approach to gauge stakeholders’ agreement with the TPP",'Data extraction-synthesis'!L8)),"X","")</f>
        <v>X</v>
      </c>
      <c r="R9" s="52" t="str">
        <f>IF(ISNUMBER(SEARCH("Data analysis",'Data extraction-synthesis'!L8)),"X","")</f>
        <v/>
      </c>
      <c r="S9" s="52" t="str">
        <f>IF(ISNUMBER(SEARCH("Definition problem statement/use case  ",'Data extraction-synthesis'!L8)),"X","")</f>
        <v/>
      </c>
      <c r="T9" s="52" t="str">
        <f>IF(ISNUMBER(SEARCH("Identification of stakeholders to involve in draft TPP ",'Data extraction-synthesis'!L8)),"X","")</f>
        <v/>
      </c>
      <c r="U9" s="52" t="str">
        <f>IF(ISNUMBER(SEARCH("Definition TPP domains ",'Data extraction-synthesis'!L8)),"X","")</f>
        <v/>
      </c>
      <c r="V9" s="52" t="str">
        <f>IF(ISNUMBER(SEARCH("Survey to measure stakeholder’s preferences and agreement ",'Data extraction-synthesis'!L8)),"X","")</f>
        <v/>
      </c>
      <c r="W9" s="52" t="str">
        <f>IF(ISNUMBER(SEARCH("Reviewing available literature and data",'Data extraction-synthesis'!L8)),"X","")</f>
        <v/>
      </c>
      <c r="X9" s="52" t="str">
        <f>IF(ISNUMBER(SEARCH("Defining scope TPP ",'Data extraction-synthesis'!L8)),"X","")</f>
        <v/>
      </c>
      <c r="Y9" s="52" t="str">
        <f>IF(ISNUMBER(SEARCH("Interview with stakeholders",'Data extraction-synthesis'!L8)),"X","")</f>
        <v/>
      </c>
      <c r="Z9" s="52" t="str">
        <f>IF(ISNUMBER(SEARCH("Field research ",'Data extraction-synthesis'!L8)),"X","")</f>
        <v/>
      </c>
      <c r="AA9" s="52" t="str">
        <f>IF(ISNUMBER(SEARCH("Consolidation of findings",'Data extraction-synthesis'!L8)),"X","")</f>
        <v/>
      </c>
      <c r="AB9" s="52" t="str">
        <f>IF(ISNUMBER(SEARCH("N/A",'Data extraction-synthesis'!L8)),"X","")</f>
        <v/>
      </c>
    </row>
    <row r="10" spans="1:28" ht="159">
      <c r="A10" s="56" t="s">
        <v>38</v>
      </c>
      <c r="B10" s="22" t="s">
        <v>39</v>
      </c>
      <c r="C10" s="52" t="str">
        <f>IF(ISNUMBER(SEARCH("Consensus/public meeting",'Data extraction-synthesis'!L9)),"X","")</f>
        <v/>
      </c>
      <c r="D10" s="52" t="str">
        <f>IF(ISNUMBER(SEARCH("Meeting with experts/stakeholders",'Data extraction-synthesis'!L9)),"X","")</f>
        <v>X</v>
      </c>
      <c r="E10" s="52" t="str">
        <f>IF(ISNUMBER(SEARCH("Feedback from the consultation (e.g. survey, meeting, expert opinion) is incorporated into the final TPPs",'Data extraction-synthesis'!L9)),"X","")</f>
        <v>X</v>
      </c>
      <c r="F10" s="52" t="str">
        <f>IF(ISNUMBER(SEARCH("Mapping",'Data extraction-synthesis'!L9)),"X","")</f>
        <v/>
      </c>
      <c r="G10" s="52" t="str">
        <f>IF(ISNUMBER(SEARCH("Market analyses",'Data extraction-synthesis'!L9)),"X","")</f>
        <v/>
      </c>
      <c r="H10" s="52" t="str">
        <f>IF(ISNUMBER(SEARCH("Literature search",'Data extraction-synthesis'!L9)),"X","")</f>
        <v/>
      </c>
      <c r="I10" s="52" t="str">
        <f>IF(ISNUMBER(SEARCH("Survey to retrieve input relevant for TPP",'Data extraction-synthesis'!L9)),"X","")</f>
        <v>X</v>
      </c>
      <c r="J10" s="52" t="str">
        <f>IF(ISNUMBER(SEARCH("Landscaping exercise",'Data extraction-synthesis'!L9)),"X","")</f>
        <v/>
      </c>
      <c r="K10" s="52" t="str">
        <f>IF(ISNUMBER(SEARCH("Draft TPP",'Data extraction-synthesis'!L9)),"X","")</f>
        <v>X</v>
      </c>
      <c r="L10" s="52" t="str">
        <f>IF(ISNUMBER(SEARCH("Round of revisions of TPP",'Data extraction-synthesis'!L9)),"X","")</f>
        <v/>
      </c>
      <c r="M10" s="52" t="str">
        <f>IF(ISNUMBER(SEARCH("Draft shortened TPP",'Data extraction-synthesis'!L9)),"X","")</f>
        <v/>
      </c>
      <c r="N10" s="52" t="str">
        <f>IF(ISNUMBER(SEARCH("Presentation of shortened TPP to large stakeholder audience",'Data extraction-synthesis'!L9)),"X","")</f>
        <v/>
      </c>
      <c r="O10" s="52" t="str">
        <f>IF(ISNUMBER(SEARCH("Identification of most important needs",'Data extraction-synthesis'!L9)),"X","")</f>
        <v/>
      </c>
      <c r="P10" s="52" t="str">
        <f>IF(ISNUMBER(SEARCH("Prioritization exercise",'Data extraction-synthesis'!L9)),"X","")</f>
        <v>X</v>
      </c>
      <c r="Q10" s="52" t="str">
        <f>IF(ISNUMBER(SEARCH("Delphi-like approach to gauge stakeholders’ agreement with the TPP",'Data extraction-synthesis'!L9)),"X","")</f>
        <v/>
      </c>
      <c r="R10" s="52" t="str">
        <f>IF(ISNUMBER(SEARCH("Data analysis",'Data extraction-synthesis'!L9)),"X","")</f>
        <v/>
      </c>
      <c r="S10" s="52" t="str">
        <f>IF(ISNUMBER(SEARCH("Definition problem statement/use case  ",'Data extraction-synthesis'!L9)),"X","")</f>
        <v/>
      </c>
      <c r="T10" s="52" t="str">
        <f>IF(ISNUMBER(SEARCH("Identification of stakeholders to involve in draft TPP ",'Data extraction-synthesis'!L9)),"X","")</f>
        <v/>
      </c>
      <c r="U10" s="52" t="str">
        <f>IF(ISNUMBER(SEARCH("Definition TPP domains ",'Data extraction-synthesis'!L9)),"X","")</f>
        <v/>
      </c>
      <c r="V10" s="52" t="str">
        <f>IF(ISNUMBER(SEARCH("Survey to measure stakeholder’s preferences and agreement ",'Data extraction-synthesis'!L9)),"X","")</f>
        <v/>
      </c>
      <c r="W10" s="52" t="str">
        <f>IF(ISNUMBER(SEARCH("Reviewing available literature and data",'Data extraction-synthesis'!L9)),"X","")</f>
        <v/>
      </c>
      <c r="X10" s="52" t="str">
        <f>IF(ISNUMBER(SEARCH("Defining scope TPP ",'Data extraction-synthesis'!L9)),"X","")</f>
        <v/>
      </c>
      <c r="Y10" s="52" t="str">
        <f>IF(ISNUMBER(SEARCH("Interview with stakeholders",'Data extraction-synthesis'!L9)),"X","")</f>
        <v/>
      </c>
      <c r="Z10" s="52" t="str">
        <f>IF(ISNUMBER(SEARCH("Field research ",'Data extraction-synthesis'!L9)),"X","")</f>
        <v/>
      </c>
      <c r="AA10" s="52" t="str">
        <f>IF(ISNUMBER(SEARCH("Consolidation of findings",'Data extraction-synthesis'!L9)),"X","")</f>
        <v/>
      </c>
      <c r="AB10" s="52" t="str">
        <f>IF(ISNUMBER(SEARCH("N/A",'Data extraction-synthesis'!L9)),"X","")</f>
        <v/>
      </c>
    </row>
    <row r="11" spans="1:28" ht="119.4">
      <c r="A11" s="56" t="s">
        <v>41</v>
      </c>
      <c r="B11" s="22" t="s">
        <v>42</v>
      </c>
      <c r="C11" s="52" t="str">
        <f>IF(ISNUMBER(SEARCH("Consensus/public meeting",'Data extraction-synthesis'!L10)),"X","")</f>
        <v/>
      </c>
      <c r="D11" s="52" t="str">
        <f>IF(ISNUMBER(SEARCH("Meeting with experts/stakeholders",'Data extraction-synthesis'!L10)),"X","")</f>
        <v>X</v>
      </c>
      <c r="E11" s="52" t="str">
        <f>IF(ISNUMBER(SEARCH("Feedback from the consultation (e.g. survey, meeting, expert opinion) is incorporated into the final TPPs",'Data extraction-synthesis'!L10)),"X","")</f>
        <v>X</v>
      </c>
      <c r="F11" s="52" t="str">
        <f>IF(ISNUMBER(SEARCH("Mapping",'Data extraction-synthesis'!L10)),"X","")</f>
        <v/>
      </c>
      <c r="G11" s="52" t="str">
        <f>IF(ISNUMBER(SEARCH("Market analyses",'Data extraction-synthesis'!L10)),"X","")</f>
        <v/>
      </c>
      <c r="H11" s="52" t="str">
        <f>IF(ISNUMBER(SEARCH("Literature search",'Data extraction-synthesis'!L10)),"X","")</f>
        <v/>
      </c>
      <c r="I11" s="52" t="str">
        <f>IF(ISNUMBER(SEARCH("Survey to retrieve input relevant for TPP",'Data extraction-synthesis'!L10)),"X","")</f>
        <v/>
      </c>
      <c r="J11" s="52" t="str">
        <f>IF(ISNUMBER(SEARCH("Landscaping exercise",'Data extraction-synthesis'!L10)),"X","")</f>
        <v>X</v>
      </c>
      <c r="K11" s="52" t="str">
        <f>IF(ISNUMBER(SEARCH("Draft TPP",'Data extraction-synthesis'!L10)),"X","")</f>
        <v>X</v>
      </c>
      <c r="L11" s="52" t="str">
        <f>IF(ISNUMBER(SEARCH("Round of revisions of TPP",'Data extraction-synthesis'!L10)),"X","")</f>
        <v>X</v>
      </c>
      <c r="M11" s="52" t="str">
        <f>IF(ISNUMBER(SEARCH("Draft shortened TPP",'Data extraction-synthesis'!L10)),"X","")</f>
        <v/>
      </c>
      <c r="N11" s="52" t="str">
        <f>IF(ISNUMBER(SEARCH("Presentation of shortened TPP to large stakeholder audience",'Data extraction-synthesis'!L10)),"X","")</f>
        <v/>
      </c>
      <c r="O11" s="52" t="str">
        <f>IF(ISNUMBER(SEARCH("Identification of most important needs",'Data extraction-synthesis'!L10)),"X","")</f>
        <v/>
      </c>
      <c r="P11" s="52" t="str">
        <f>IF(ISNUMBER(SEARCH("Prioritization exercise",'Data extraction-synthesis'!L10)),"X","")</f>
        <v/>
      </c>
      <c r="Q11" s="52" t="str">
        <f>IF(ISNUMBER(SEARCH("Delphi-like approach to gauge stakeholders’ agreement with the TPP",'Data extraction-synthesis'!L10)),"X","")</f>
        <v/>
      </c>
      <c r="R11" s="52" t="str">
        <f>IF(ISNUMBER(SEARCH("Data analysis",'Data extraction-synthesis'!L10)),"X","")</f>
        <v/>
      </c>
      <c r="S11" s="52" t="str">
        <f>IF(ISNUMBER(SEARCH("Definition problem statement/use case  ",'Data extraction-synthesis'!L10)),"X","")</f>
        <v>X</v>
      </c>
      <c r="T11" s="52" t="str">
        <f>IF(ISNUMBER(SEARCH("Identification of stakeholders to involve in draft TPP ",'Data extraction-synthesis'!L10)),"X","")</f>
        <v/>
      </c>
      <c r="U11" s="52" t="str">
        <f>IF(ISNUMBER(SEARCH("Definition TPP domains ",'Data extraction-synthesis'!L10)),"X","")</f>
        <v/>
      </c>
      <c r="V11" s="52" t="str">
        <f>IF(ISNUMBER(SEARCH("Survey to measure stakeholder’s preferences and agreement ",'Data extraction-synthesis'!L10)),"X","")</f>
        <v/>
      </c>
      <c r="W11" s="52" t="str">
        <f>IF(ISNUMBER(SEARCH("Reviewing available literature and data",'Data extraction-synthesis'!L10)),"X","")</f>
        <v/>
      </c>
      <c r="X11" s="52" t="str">
        <f>IF(ISNUMBER(SEARCH("Defining scope TPP ",'Data extraction-synthesis'!L10)),"X","")</f>
        <v/>
      </c>
      <c r="Y11" s="52" t="str">
        <f>IF(ISNUMBER(SEARCH("Interview with stakeholders",'Data extraction-synthesis'!L10)),"X","")</f>
        <v/>
      </c>
      <c r="Z11" s="52" t="str">
        <f>IF(ISNUMBER(SEARCH("Field research ",'Data extraction-synthesis'!L10)),"X","")</f>
        <v/>
      </c>
      <c r="AA11" s="52" t="str">
        <f>IF(ISNUMBER(SEARCH("Consolidation of findings",'Data extraction-synthesis'!L10)),"X","")</f>
        <v/>
      </c>
      <c r="AB11" s="52" t="str">
        <f>IF(ISNUMBER(SEARCH("N/A",'Data extraction-synthesis'!L10)),"X","")</f>
        <v/>
      </c>
    </row>
    <row r="12" spans="1:28" ht="79.8">
      <c r="A12" s="56" t="s">
        <v>43</v>
      </c>
      <c r="B12" s="22" t="s">
        <v>44</v>
      </c>
      <c r="C12" s="52" t="str">
        <f>IF(ISNUMBER(SEARCH("Consensus/public meeting",'Data extraction-synthesis'!L11)),"X","")</f>
        <v>X</v>
      </c>
      <c r="D12" s="52" t="str">
        <f>IF(ISNUMBER(SEARCH("Meeting with experts/stakeholders",'Data extraction-synthesis'!L11)),"X","")</f>
        <v/>
      </c>
      <c r="E12" s="52" t="str">
        <f>IF(ISNUMBER(SEARCH("Feedback from the consultation (e.g. survey, meeting, expert opinion) is incorporated into the final TPPs",'Data extraction-synthesis'!L11)),"X","")</f>
        <v>X</v>
      </c>
      <c r="F12" s="52" t="str">
        <f>IF(ISNUMBER(SEARCH("Mapping",'Data extraction-synthesis'!L11)),"X","")</f>
        <v/>
      </c>
      <c r="G12" s="52" t="str">
        <f>IF(ISNUMBER(SEARCH("Market analyses",'Data extraction-synthesis'!L11)),"X","")</f>
        <v/>
      </c>
      <c r="H12" s="52" t="str">
        <f>IF(ISNUMBER(SEARCH("Literature search",'Data extraction-synthesis'!L11)),"X","")</f>
        <v/>
      </c>
      <c r="I12" s="52" t="str">
        <f>IF(ISNUMBER(SEARCH("Survey to retrieve input relevant for TPP",'Data extraction-synthesis'!L11)),"X","")</f>
        <v/>
      </c>
      <c r="J12" s="52" t="str">
        <f>IF(ISNUMBER(SEARCH("Landscaping exercise",'Data extraction-synthesis'!L11)),"X","")</f>
        <v>X</v>
      </c>
      <c r="K12" s="52" t="str">
        <f>IF(ISNUMBER(SEARCH("Draft TPP",'Data extraction-synthesis'!L11)),"X","")</f>
        <v>X</v>
      </c>
      <c r="L12" s="52" t="str">
        <f>IF(ISNUMBER(SEARCH("Round of revisions of TPP",'Data extraction-synthesis'!L11)),"X","")</f>
        <v/>
      </c>
      <c r="M12" s="52" t="str">
        <f>IF(ISNUMBER(SEARCH("Draft shortened TPP",'Data extraction-synthesis'!L11)),"X","")</f>
        <v/>
      </c>
      <c r="N12" s="52" t="str">
        <f>IF(ISNUMBER(SEARCH("Presentation of shortened TPP to large stakeholder audience",'Data extraction-synthesis'!L11)),"X","")</f>
        <v/>
      </c>
      <c r="O12" s="52" t="str">
        <f>IF(ISNUMBER(SEARCH("Identification of most important needs",'Data extraction-synthesis'!L11)),"X","")</f>
        <v/>
      </c>
      <c r="P12" s="52" t="str">
        <f>IF(ISNUMBER(SEARCH("Prioritization exercise",'Data extraction-synthesis'!L11)),"X","")</f>
        <v/>
      </c>
      <c r="Q12" s="52" t="str">
        <f>IF(ISNUMBER(SEARCH("Delphi-like approach to gauge stakeholders’ agreement with the TPP",'Data extraction-synthesis'!L11)),"X","")</f>
        <v/>
      </c>
      <c r="R12" s="52" t="str">
        <f>IF(ISNUMBER(SEARCH("Data analysis",'Data extraction-synthesis'!L11)),"X","")</f>
        <v/>
      </c>
      <c r="S12" s="52" t="str">
        <f>IF(ISNUMBER(SEARCH("Definition problem statement/use case  ",'Data extraction-synthesis'!L11)),"X","")</f>
        <v/>
      </c>
      <c r="T12" s="52" t="str">
        <f>IF(ISNUMBER(SEARCH("Identification of stakeholders to involve in draft TPP ",'Data extraction-synthesis'!L11)),"X","")</f>
        <v/>
      </c>
      <c r="U12" s="52" t="str">
        <f>IF(ISNUMBER(SEARCH("Definition TPP domains ",'Data extraction-synthesis'!L11)),"X","")</f>
        <v/>
      </c>
      <c r="V12" s="52" t="str">
        <f>IF(ISNUMBER(SEARCH("Survey to measure stakeholder’s preferences and agreement ",'Data extraction-synthesis'!L11)),"X","")</f>
        <v>X</v>
      </c>
      <c r="W12" s="52" t="str">
        <f>IF(ISNUMBER(SEARCH("Reviewing available literature and data",'Data extraction-synthesis'!L11)),"X","")</f>
        <v/>
      </c>
      <c r="X12" s="52" t="str">
        <f>IF(ISNUMBER(SEARCH("Defining scope TPP ",'Data extraction-synthesis'!L11)),"X","")</f>
        <v/>
      </c>
      <c r="Y12" s="52" t="str">
        <f>IF(ISNUMBER(SEARCH("Interview with stakeholders",'Data extraction-synthesis'!L11)),"X","")</f>
        <v/>
      </c>
      <c r="Z12" s="52" t="str">
        <f>IF(ISNUMBER(SEARCH("Field research ",'Data extraction-synthesis'!L11)),"X","")</f>
        <v/>
      </c>
      <c r="AA12" s="52" t="str">
        <f>IF(ISNUMBER(SEARCH("Consolidation of findings",'Data extraction-synthesis'!L11)),"X","")</f>
        <v/>
      </c>
      <c r="AB12" s="52" t="str">
        <f>IF(ISNUMBER(SEARCH("N/A",'Data extraction-synthesis'!L11)),"X","")</f>
        <v/>
      </c>
    </row>
    <row r="13" spans="1:28" ht="106.2">
      <c r="A13" s="56" t="s">
        <v>45</v>
      </c>
      <c r="B13" s="22" t="s">
        <v>46</v>
      </c>
      <c r="C13" s="52" t="str">
        <f>IF(ISNUMBER(SEARCH("Consensus/public meeting",'Data extraction-synthesis'!L12)),"X","")</f>
        <v/>
      </c>
      <c r="D13" s="52" t="str">
        <f>IF(ISNUMBER(SEARCH("Meeting with experts/stakeholders",'Data extraction-synthesis'!L12)),"X","")</f>
        <v>X</v>
      </c>
      <c r="E13" s="52" t="str">
        <f>IF(ISNUMBER(SEARCH("Feedback from the consultation (e.g. survey, meeting, expert opinion) is incorporated into the final TPPs",'Data extraction-synthesis'!L12)),"X","")</f>
        <v/>
      </c>
      <c r="F13" s="52" t="str">
        <f>IF(ISNUMBER(SEARCH("Mapping",'Data extraction-synthesis'!L12)),"X","")</f>
        <v/>
      </c>
      <c r="G13" s="52" t="str">
        <f>IF(ISNUMBER(SEARCH("Market analyses",'Data extraction-synthesis'!L12)),"X","")</f>
        <v/>
      </c>
      <c r="H13" s="52" t="str">
        <f>IF(ISNUMBER(SEARCH("Literature search",'Data extraction-synthesis'!L12)),"X","")</f>
        <v/>
      </c>
      <c r="I13" s="52" t="str">
        <f>IF(ISNUMBER(SEARCH("Survey to retrieve input relevant for TPP",'Data extraction-synthesis'!L12)),"X","")</f>
        <v/>
      </c>
      <c r="J13" s="52" t="str">
        <f>IF(ISNUMBER(SEARCH("Landscaping exercise",'Data extraction-synthesis'!L12)),"X","")</f>
        <v/>
      </c>
      <c r="K13" s="52" t="str">
        <f>IF(ISNUMBER(SEARCH("Draft TPP",'Data extraction-synthesis'!L12)),"X","")</f>
        <v>X</v>
      </c>
      <c r="L13" s="52" t="str">
        <f>IF(ISNUMBER(SEARCH("Round of revisions of TPP",'Data extraction-synthesis'!L12)),"X","")</f>
        <v/>
      </c>
      <c r="M13" s="52" t="str">
        <f>IF(ISNUMBER(SEARCH("Draft shortened TPP",'Data extraction-synthesis'!L12)),"X","")</f>
        <v/>
      </c>
      <c r="N13" s="52" t="str">
        <f>IF(ISNUMBER(SEARCH("Presentation of shortened TPP to large stakeholder audience",'Data extraction-synthesis'!L12)),"X","")</f>
        <v/>
      </c>
      <c r="O13" s="52" t="str">
        <f>IF(ISNUMBER(SEARCH("Identification of most important needs",'Data extraction-synthesis'!L12)),"X","")</f>
        <v/>
      </c>
      <c r="P13" s="52" t="str">
        <f>IF(ISNUMBER(SEARCH("Prioritization exercise",'Data extraction-synthesis'!L12)),"X","")</f>
        <v/>
      </c>
      <c r="Q13" s="52" t="str">
        <f>IF(ISNUMBER(SEARCH("Delphi-like approach to gauge stakeholders’ agreement with the TPP",'Data extraction-synthesis'!L12)),"X","")</f>
        <v/>
      </c>
      <c r="R13" s="52" t="str">
        <f>IF(ISNUMBER(SEARCH("Data analysis",'Data extraction-synthesis'!L12)),"X","")</f>
        <v/>
      </c>
      <c r="S13" s="52" t="str">
        <f>IF(ISNUMBER(SEARCH("Definition problem statement/use case  ",'Data extraction-synthesis'!L12)),"X","")</f>
        <v>X</v>
      </c>
      <c r="T13" s="52" t="str">
        <f>IF(ISNUMBER(SEARCH("Identification of stakeholders to involve in draft TPP ",'Data extraction-synthesis'!L12)),"X","")</f>
        <v/>
      </c>
      <c r="U13" s="52" t="str">
        <f>IF(ISNUMBER(SEARCH("Definition TPP domains ",'Data extraction-synthesis'!L12)),"X","")</f>
        <v/>
      </c>
      <c r="V13" s="52" t="str">
        <f>IF(ISNUMBER(SEARCH("Survey to measure stakeholder’s preferences and agreement ",'Data extraction-synthesis'!L12)),"X","")</f>
        <v/>
      </c>
      <c r="W13" s="52" t="str">
        <f>IF(ISNUMBER(SEARCH("Reviewing available literature and data",'Data extraction-synthesis'!L12)),"X","")</f>
        <v/>
      </c>
      <c r="X13" s="52" t="str">
        <f>IF(ISNUMBER(SEARCH("Defining scope TPP ",'Data extraction-synthesis'!L12)),"X","")</f>
        <v/>
      </c>
      <c r="Y13" s="52" t="str">
        <f>IF(ISNUMBER(SEARCH("Interview with stakeholders",'Data extraction-synthesis'!L12)),"X","")</f>
        <v/>
      </c>
      <c r="Z13" s="52" t="str">
        <f>IF(ISNUMBER(SEARCH("Field research ",'Data extraction-synthesis'!L12)),"X","")</f>
        <v/>
      </c>
      <c r="AA13" s="52" t="str">
        <f>IF(ISNUMBER(SEARCH("Consolidation of findings",'Data extraction-synthesis'!L12)),"X","")</f>
        <v/>
      </c>
      <c r="AB13" s="52" t="str">
        <f>IF(ISNUMBER(SEARCH("N/A",'Data extraction-synthesis'!L12)),"X","")</f>
        <v/>
      </c>
    </row>
    <row r="14" spans="1:28" ht="93">
      <c r="A14" s="56" t="s">
        <v>48</v>
      </c>
      <c r="B14" s="22" t="s">
        <v>49</v>
      </c>
      <c r="C14" s="52" t="str">
        <f>IF(ISNUMBER(SEARCH("Consensus/public meeting",'Data extraction-synthesis'!L13)),"X","")</f>
        <v>X</v>
      </c>
      <c r="D14" s="52" t="str">
        <f>IF(ISNUMBER(SEARCH("Meeting with experts/stakeholders",'Data extraction-synthesis'!L13)),"X","")</f>
        <v/>
      </c>
      <c r="E14" s="52" t="str">
        <f>IF(ISNUMBER(SEARCH("Feedback from the consultation (e.g. survey, meeting, expert opinion) is incorporated into the final TPPs",'Data extraction-synthesis'!L13)),"X","")</f>
        <v/>
      </c>
      <c r="F14" s="52" t="str">
        <f>IF(ISNUMBER(SEARCH("Mapping",'Data extraction-synthesis'!L13)),"X","")</f>
        <v/>
      </c>
      <c r="G14" s="52" t="str">
        <f>IF(ISNUMBER(SEARCH("Market analyses",'Data extraction-synthesis'!L13)),"X","")</f>
        <v/>
      </c>
      <c r="H14" s="52" t="str">
        <f>IF(ISNUMBER(SEARCH("Literature search",'Data extraction-synthesis'!L13)),"X","")</f>
        <v/>
      </c>
      <c r="I14" s="52" t="str">
        <f>IF(ISNUMBER(SEARCH("Survey to retrieve input relevant for TPP",'Data extraction-synthesis'!L13)),"X","")</f>
        <v/>
      </c>
      <c r="J14" s="52" t="str">
        <f>IF(ISNUMBER(SEARCH("Landscaping exercise",'Data extraction-synthesis'!L13)),"X","")</f>
        <v/>
      </c>
      <c r="K14" s="52" t="str">
        <f>IF(ISNUMBER(SEARCH("Draft TPP",'Data extraction-synthesis'!L13)),"X","")</f>
        <v>X</v>
      </c>
      <c r="L14" s="52" t="str">
        <f>IF(ISNUMBER(SEARCH("Round of revisions of TPP",'Data extraction-synthesis'!L13)),"X","")</f>
        <v/>
      </c>
      <c r="M14" s="52" t="str">
        <f>IF(ISNUMBER(SEARCH("Draft shortened TPP",'Data extraction-synthesis'!L13)),"X","")</f>
        <v/>
      </c>
      <c r="N14" s="52" t="str">
        <f>IF(ISNUMBER(SEARCH("Presentation of shortened TPP to large stakeholder audience",'Data extraction-synthesis'!L13)),"X","")</f>
        <v/>
      </c>
      <c r="O14" s="52" t="str">
        <f>IF(ISNUMBER(SEARCH("Identification of most important needs",'Data extraction-synthesis'!L13)),"X","")</f>
        <v/>
      </c>
      <c r="P14" s="52" t="str">
        <f>IF(ISNUMBER(SEARCH("Prioritization exercise",'Data extraction-synthesis'!L13)),"X","")</f>
        <v>X</v>
      </c>
      <c r="Q14" s="52" t="str">
        <f>IF(ISNUMBER(SEARCH("Delphi-like approach to gauge stakeholders’ agreement with the TPP",'Data extraction-synthesis'!L13)),"X","")</f>
        <v>X</v>
      </c>
      <c r="R14" s="52" t="str">
        <f>IF(ISNUMBER(SEARCH("Data analysis",'Data extraction-synthesis'!L13)),"X","")</f>
        <v/>
      </c>
      <c r="S14" s="52" t="str">
        <f>IF(ISNUMBER(SEARCH("Definition problem statement/use case  ",'Data extraction-synthesis'!L13)),"X","")</f>
        <v/>
      </c>
      <c r="T14" s="52" t="str">
        <f>IF(ISNUMBER(SEARCH("Identification of stakeholders to involve in draft TPP ",'Data extraction-synthesis'!L13)),"X","")</f>
        <v>X</v>
      </c>
      <c r="U14" s="52" t="str">
        <f>IF(ISNUMBER(SEARCH("Definition TPP domains ",'Data extraction-synthesis'!L13)),"X","")</f>
        <v>X</v>
      </c>
      <c r="V14" s="52" t="str">
        <f>IF(ISNUMBER(SEARCH("Survey to measure stakeholder’s preferences and agreement ",'Data extraction-synthesis'!L13)),"X","")</f>
        <v/>
      </c>
      <c r="W14" s="52" t="str">
        <f>IF(ISNUMBER(SEARCH("Reviewing available literature and data",'Data extraction-synthesis'!L13)),"X","")</f>
        <v/>
      </c>
      <c r="X14" s="52" t="str">
        <f>IF(ISNUMBER(SEARCH("Defining scope TPP ",'Data extraction-synthesis'!L13)),"X","")</f>
        <v/>
      </c>
      <c r="Y14" s="52" t="str">
        <f>IF(ISNUMBER(SEARCH("Interview with stakeholders",'Data extraction-synthesis'!L13)),"X","")</f>
        <v/>
      </c>
      <c r="Z14" s="52" t="str">
        <f>IF(ISNUMBER(SEARCH("Field research ",'Data extraction-synthesis'!L13)),"X","")</f>
        <v/>
      </c>
      <c r="AA14" s="52" t="str">
        <f>IF(ISNUMBER(SEARCH("Consolidation of findings",'Data extraction-synthesis'!L13)),"X","")</f>
        <v/>
      </c>
      <c r="AB14" s="52" t="str">
        <f>IF(ISNUMBER(SEARCH("N/A",'Data extraction-synthesis'!L13)),"X","")</f>
        <v/>
      </c>
    </row>
    <row r="15" spans="1:28" ht="145.8">
      <c r="A15" s="56" t="s">
        <v>50</v>
      </c>
      <c r="B15" s="22" t="s">
        <v>51</v>
      </c>
      <c r="C15" s="52" t="str">
        <f>IF(ISNUMBER(SEARCH("Consensus/public meeting",'Data extraction-synthesis'!L14)),"X","")</f>
        <v/>
      </c>
      <c r="D15" s="52" t="str">
        <f>IF(ISNUMBER(SEARCH("Meeting with experts/stakeholders",'Data extraction-synthesis'!L14)),"X","")</f>
        <v/>
      </c>
      <c r="E15" s="52" t="str">
        <f>IF(ISNUMBER(SEARCH("Feedback from the consultation (e.g. survey, meeting, expert opinion) is incorporated into the final TPPs",'Data extraction-synthesis'!L14)),"X","")</f>
        <v/>
      </c>
      <c r="F15" s="52" t="str">
        <f>IF(ISNUMBER(SEARCH("Mapping",'Data extraction-synthesis'!L14)),"X","")</f>
        <v/>
      </c>
      <c r="G15" s="52" t="str">
        <f>IF(ISNUMBER(SEARCH("Market analyses",'Data extraction-synthesis'!L14)),"X","")</f>
        <v/>
      </c>
      <c r="H15" s="52" t="str">
        <f>IF(ISNUMBER(SEARCH("Literature search",'Data extraction-synthesis'!L14)),"X","")</f>
        <v/>
      </c>
      <c r="I15" s="52" t="str">
        <f>IF(ISNUMBER(SEARCH("Survey to retrieve input relevant for TPP",'Data extraction-synthesis'!L14)),"X","")</f>
        <v/>
      </c>
      <c r="J15" s="52" t="str">
        <f>IF(ISNUMBER(SEARCH("Landscaping exercise",'Data extraction-synthesis'!L14)),"X","")</f>
        <v/>
      </c>
      <c r="K15" s="52" t="str">
        <f>IF(ISNUMBER(SEARCH("Draft TPP",'Data extraction-synthesis'!L14)),"X","")</f>
        <v>X</v>
      </c>
      <c r="L15" s="52" t="str">
        <f>IF(ISNUMBER(SEARCH("Round of revisions of TPP",'Data extraction-synthesis'!L14)),"X","")</f>
        <v/>
      </c>
      <c r="M15" s="52" t="str">
        <f>IF(ISNUMBER(SEARCH("Draft shortened TPP",'Data extraction-synthesis'!L14)),"X","")</f>
        <v/>
      </c>
      <c r="N15" s="52" t="str">
        <f>IF(ISNUMBER(SEARCH("Presentation of shortened TPP to large stakeholder audience",'Data extraction-synthesis'!L14)),"X","")</f>
        <v/>
      </c>
      <c r="O15" s="52" t="str">
        <f>IF(ISNUMBER(SEARCH("Identification of most important needs",'Data extraction-synthesis'!L14)),"X","")</f>
        <v/>
      </c>
      <c r="P15" s="52" t="str">
        <f>IF(ISNUMBER(SEARCH("Prioritization exercise",'Data extraction-synthesis'!L14)),"X","")</f>
        <v/>
      </c>
      <c r="Q15" s="52" t="str">
        <f>IF(ISNUMBER(SEARCH("Delphi-like approach to gauge stakeholders’ agreement with the TPP",'Data extraction-synthesis'!L14)),"X","")</f>
        <v/>
      </c>
      <c r="R15" s="52" t="str">
        <f>IF(ISNUMBER(SEARCH("Data analysis",'Data extraction-synthesis'!L14)),"X","")</f>
        <v/>
      </c>
      <c r="S15" s="52" t="str">
        <f>IF(ISNUMBER(SEARCH("Definition problem statement/use case  ",'Data extraction-synthesis'!L14)),"X","")</f>
        <v/>
      </c>
      <c r="T15" s="52" t="str">
        <f>IF(ISNUMBER(SEARCH("Identification of stakeholders to involve in draft TPP ",'Data extraction-synthesis'!L14)),"X","")</f>
        <v/>
      </c>
      <c r="U15" s="52" t="str">
        <f>IF(ISNUMBER(SEARCH("Definition TPP domains ",'Data extraction-synthesis'!L14)),"X","")</f>
        <v/>
      </c>
      <c r="V15" s="52" t="str">
        <f>IF(ISNUMBER(SEARCH("Survey to measure stakeholder’s preferences and agreement ",'Data extraction-synthesis'!L14)),"X","")</f>
        <v/>
      </c>
      <c r="W15" s="52" t="str">
        <f>IF(ISNUMBER(SEARCH("Reviewing available literature and data",'Data extraction-synthesis'!L14)),"X","")</f>
        <v/>
      </c>
      <c r="X15" s="52" t="str">
        <f>IF(ISNUMBER(SEARCH("Defining scope TPP ",'Data extraction-synthesis'!L14)),"X","")</f>
        <v/>
      </c>
      <c r="Y15" s="52" t="str">
        <f>IF(ISNUMBER(SEARCH("Interview with stakeholders",'Data extraction-synthesis'!L14)),"X","")</f>
        <v/>
      </c>
      <c r="Z15" s="52" t="str">
        <f>IF(ISNUMBER(SEARCH("Field research ",'Data extraction-synthesis'!L14)),"X","")</f>
        <v/>
      </c>
      <c r="AA15" s="52" t="str">
        <f>IF(ISNUMBER(SEARCH("Consolidation of findings",'Data extraction-synthesis'!L14)),"X","")</f>
        <v/>
      </c>
      <c r="AB15" s="52" t="str">
        <f>IF(ISNUMBER(SEARCH("N/A",'Data extraction-synthesis'!L14)),"X","")</f>
        <v/>
      </c>
    </row>
    <row r="16" spans="1:28" ht="132.6">
      <c r="A16" s="56" t="s">
        <v>53</v>
      </c>
      <c r="B16" s="22" t="s">
        <v>54</v>
      </c>
      <c r="C16" s="52" t="str">
        <f>IF(ISNUMBER(SEARCH("Consensus/public meeting",'Data extraction-synthesis'!L15)),"X","")</f>
        <v>X</v>
      </c>
      <c r="D16" s="52" t="str">
        <f>IF(ISNUMBER(SEARCH("Meeting with experts/stakeholders",'Data extraction-synthesis'!L15)),"X","")</f>
        <v/>
      </c>
      <c r="E16" s="52" t="str">
        <f>IF(ISNUMBER(SEARCH("Feedback from the consultation (e.g. survey, meeting, expert opinion) is incorporated into the final TPPs",'Data extraction-synthesis'!L15)),"X","")</f>
        <v>X</v>
      </c>
      <c r="F16" s="52" t="str">
        <f>IF(ISNUMBER(SEARCH("Mapping",'Data extraction-synthesis'!L15)),"X","")</f>
        <v/>
      </c>
      <c r="G16" s="52" t="str">
        <f>IF(ISNUMBER(SEARCH("Market analyses",'Data extraction-synthesis'!L15)),"X","")</f>
        <v/>
      </c>
      <c r="H16" s="52" t="str">
        <f>IF(ISNUMBER(SEARCH("Literature search",'Data extraction-synthesis'!L15)),"X","")</f>
        <v/>
      </c>
      <c r="I16" s="52" t="str">
        <f>IF(ISNUMBER(SEARCH("Survey to retrieve input relevant for TPP",'Data extraction-synthesis'!L15)),"X","")</f>
        <v>X</v>
      </c>
      <c r="J16" s="52" t="str">
        <f>IF(ISNUMBER(SEARCH("Landscaping exercise",'Data extraction-synthesis'!L15)),"X","")</f>
        <v>X</v>
      </c>
      <c r="K16" s="52" t="str">
        <f>IF(ISNUMBER(SEARCH("Draft TPP",'Data extraction-synthesis'!L15)),"X","")</f>
        <v>X</v>
      </c>
      <c r="L16" s="52" t="str">
        <f>IF(ISNUMBER(SEARCH("Round of revisions of TPP",'Data extraction-synthesis'!L15)),"X","")</f>
        <v>X</v>
      </c>
      <c r="M16" s="52" t="str">
        <f>IF(ISNUMBER(SEARCH("Draft shortened TPP",'Data extraction-synthesis'!L15)),"X","")</f>
        <v/>
      </c>
      <c r="N16" s="52" t="str">
        <f>IF(ISNUMBER(SEARCH("Presentation of shortened TPP to large stakeholder audience",'Data extraction-synthesis'!L15)),"X","")</f>
        <v/>
      </c>
      <c r="O16" s="52" t="str">
        <f>IF(ISNUMBER(SEARCH("Identification of most important needs",'Data extraction-synthesis'!L15)),"X","")</f>
        <v/>
      </c>
      <c r="P16" s="52" t="str">
        <f>IF(ISNUMBER(SEARCH("Prioritization exercise",'Data extraction-synthesis'!L15)),"X","")</f>
        <v/>
      </c>
      <c r="Q16" s="52" t="str">
        <f>IF(ISNUMBER(SEARCH("Delphi-like approach to gauge stakeholders’ agreement with the TPP",'Data extraction-synthesis'!L15)),"X","")</f>
        <v/>
      </c>
      <c r="R16" s="52" t="str">
        <f>IF(ISNUMBER(SEARCH("Data analysis",'Data extraction-synthesis'!L15)),"X","")</f>
        <v/>
      </c>
      <c r="S16" s="52" t="str">
        <f>IF(ISNUMBER(SEARCH("Definition problem statement/use case  ",'Data extraction-synthesis'!L15)),"X","")</f>
        <v/>
      </c>
      <c r="T16" s="52" t="str">
        <f>IF(ISNUMBER(SEARCH("Identification of stakeholders to involve in draft TPP ",'Data extraction-synthesis'!L15)),"X","")</f>
        <v/>
      </c>
      <c r="U16" s="52" t="str">
        <f>IF(ISNUMBER(SEARCH("Definition TPP domains ",'Data extraction-synthesis'!L15)),"X","")</f>
        <v/>
      </c>
      <c r="V16" s="52" t="str">
        <f>IF(ISNUMBER(SEARCH("Survey to measure stakeholder’s preferences and agreement ",'Data extraction-synthesis'!L15)),"X","")</f>
        <v/>
      </c>
      <c r="W16" s="52" t="str">
        <f>IF(ISNUMBER(SEARCH("Reviewing available literature and data",'Data extraction-synthesis'!L15)),"X","")</f>
        <v>X</v>
      </c>
      <c r="X16" s="52" t="str">
        <f>IF(ISNUMBER(SEARCH("Defining scope TPP ",'Data extraction-synthesis'!L15)),"X","")</f>
        <v/>
      </c>
      <c r="Y16" s="52" t="str">
        <f>IF(ISNUMBER(SEARCH("Interview with stakeholders",'Data extraction-synthesis'!L15)),"X","")</f>
        <v/>
      </c>
      <c r="Z16" s="52" t="str">
        <f>IF(ISNUMBER(SEARCH("Field research ",'Data extraction-synthesis'!L15)),"X","")</f>
        <v/>
      </c>
      <c r="AA16" s="52" t="str">
        <f>IF(ISNUMBER(SEARCH("Consolidation of findings",'Data extraction-synthesis'!L15)),"X","")</f>
        <v/>
      </c>
      <c r="AB16" s="52" t="str">
        <f>IF(ISNUMBER(SEARCH("N/A",'Data extraction-synthesis'!L15)),"X","")</f>
        <v/>
      </c>
    </row>
    <row r="17" spans="1:28" ht="106.2">
      <c r="A17" s="56" t="s">
        <v>55</v>
      </c>
      <c r="B17" s="22" t="s">
        <v>56</v>
      </c>
      <c r="C17" s="52" t="str">
        <f>IF(ISNUMBER(SEARCH("Consensus/public meeting",'Data extraction-synthesis'!L16)),"X","")</f>
        <v/>
      </c>
      <c r="D17" s="52" t="str">
        <f>IF(ISNUMBER(SEARCH("Meeting with experts/stakeholders",'Data extraction-synthesis'!L16)),"X","")</f>
        <v>X</v>
      </c>
      <c r="E17" s="52" t="str">
        <f>IF(ISNUMBER(SEARCH("Feedback from the consultation (e.g. survey, meeting, expert opinion) is incorporated into the final TPPs",'Data extraction-synthesis'!L16)),"X","")</f>
        <v>X</v>
      </c>
      <c r="F17" s="52" t="str">
        <f>IF(ISNUMBER(SEARCH("Mapping",'Data extraction-synthesis'!L16)),"X","")</f>
        <v/>
      </c>
      <c r="G17" s="52" t="str">
        <f>IF(ISNUMBER(SEARCH("Market analyses",'Data extraction-synthesis'!L16)),"X","")</f>
        <v/>
      </c>
      <c r="H17" s="52" t="str">
        <f>IF(ISNUMBER(SEARCH("Literature search",'Data extraction-synthesis'!L16)),"X","")</f>
        <v/>
      </c>
      <c r="I17" s="52" t="str">
        <f>IF(ISNUMBER(SEARCH("Survey to retrieve input relevant for TPP",'Data extraction-synthesis'!L16)),"X","")</f>
        <v/>
      </c>
      <c r="J17" s="52" t="str">
        <f>IF(ISNUMBER(SEARCH("Landscaping exercise",'Data extraction-synthesis'!L16)),"X","")</f>
        <v/>
      </c>
      <c r="K17" s="52" t="str">
        <f>IF(ISNUMBER(SEARCH("Draft TPP",'Data extraction-synthesis'!L16)),"X","")</f>
        <v>X</v>
      </c>
      <c r="L17" s="52" t="str">
        <f>IF(ISNUMBER(SEARCH("Round of revisions of TPP",'Data extraction-synthesis'!L16)),"X","")</f>
        <v>X</v>
      </c>
      <c r="M17" s="52" t="str">
        <f>IF(ISNUMBER(SEARCH("Draft shortened TPP",'Data extraction-synthesis'!L16)),"X","")</f>
        <v/>
      </c>
      <c r="N17" s="52" t="str">
        <f>IF(ISNUMBER(SEARCH("Presentation of shortened TPP to large stakeholder audience",'Data extraction-synthesis'!L16)),"X","")</f>
        <v/>
      </c>
      <c r="O17" s="52" t="str">
        <f>IF(ISNUMBER(SEARCH("Identification of most important needs",'Data extraction-synthesis'!L16)),"X","")</f>
        <v>X</v>
      </c>
      <c r="P17" s="52" t="str">
        <f>IF(ISNUMBER(SEARCH("Prioritization exercise",'Data extraction-synthesis'!L16)),"X","")</f>
        <v/>
      </c>
      <c r="Q17" s="52" t="str">
        <f>IF(ISNUMBER(SEARCH("Delphi-like approach to gauge stakeholders’ agreement with the TPP",'Data extraction-synthesis'!L16)),"X","")</f>
        <v/>
      </c>
      <c r="R17" s="52" t="str">
        <f>IF(ISNUMBER(SEARCH("Data analysis",'Data extraction-synthesis'!L16)),"X","")</f>
        <v/>
      </c>
      <c r="S17" s="52" t="str">
        <f>IF(ISNUMBER(SEARCH("Definition problem statement/use case  ",'Data extraction-synthesis'!L16)),"X","")</f>
        <v/>
      </c>
      <c r="T17" s="52" t="str">
        <f>IF(ISNUMBER(SEARCH("Identification of stakeholders to involve in draft TPP ",'Data extraction-synthesis'!L16)),"X","")</f>
        <v/>
      </c>
      <c r="U17" s="52" t="str">
        <f>IF(ISNUMBER(SEARCH("Definition TPP domains ",'Data extraction-synthesis'!L16)),"X","")</f>
        <v/>
      </c>
      <c r="V17" s="52" t="str">
        <f>IF(ISNUMBER(SEARCH("Survey to measure stakeholder’s preferences and agreement ",'Data extraction-synthesis'!L16)),"X","")</f>
        <v>X</v>
      </c>
      <c r="W17" s="52" t="str">
        <f>IF(ISNUMBER(SEARCH("Reviewing available literature and data",'Data extraction-synthesis'!L16)),"X","")</f>
        <v/>
      </c>
      <c r="X17" s="52" t="str">
        <f>IF(ISNUMBER(SEARCH("Defining scope TPP ",'Data extraction-synthesis'!L16)),"X","")</f>
        <v/>
      </c>
      <c r="Y17" s="52" t="str">
        <f>IF(ISNUMBER(SEARCH("Interview with stakeholders",'Data extraction-synthesis'!L16)),"X","")</f>
        <v/>
      </c>
      <c r="Z17" s="52" t="str">
        <f>IF(ISNUMBER(SEARCH("Field research ",'Data extraction-synthesis'!L16)),"X","")</f>
        <v/>
      </c>
      <c r="AA17" s="52" t="str">
        <f>IF(ISNUMBER(SEARCH("Consolidation of findings",'Data extraction-synthesis'!L16)),"X","")</f>
        <v/>
      </c>
      <c r="AB17" s="52" t="str">
        <f>IF(ISNUMBER(SEARCH("N/A",'Data extraction-synthesis'!L16)),"X","")</f>
        <v/>
      </c>
    </row>
    <row r="18" spans="1:28" ht="53.4">
      <c r="A18" s="56" t="s">
        <v>58</v>
      </c>
      <c r="B18" s="22" t="s">
        <v>59</v>
      </c>
      <c r="C18" s="52" t="str">
        <f>IF(ISNUMBER(SEARCH("Consensus/public meeting",'Data extraction-synthesis'!L17)),"X","")</f>
        <v>X</v>
      </c>
      <c r="D18" s="52" t="str">
        <f>IF(ISNUMBER(SEARCH("Meeting with experts/stakeholders",'Data extraction-synthesis'!L17)),"X","")</f>
        <v/>
      </c>
      <c r="E18" s="52" t="str">
        <f>IF(ISNUMBER(SEARCH("Feedback from the consultation (e.g. survey, meeting, expert opinion) is incorporated into the final TPPs",'Data extraction-synthesis'!L17)),"X","")</f>
        <v>X</v>
      </c>
      <c r="F18" s="52" t="str">
        <f>IF(ISNUMBER(SEARCH("Mapping",'Data extraction-synthesis'!L17)),"X","")</f>
        <v/>
      </c>
      <c r="G18" s="52" t="str">
        <f>IF(ISNUMBER(SEARCH("Market analyses",'Data extraction-synthesis'!L17)),"X","")</f>
        <v/>
      </c>
      <c r="H18" s="52" t="str">
        <f>IF(ISNUMBER(SEARCH("Literature search",'Data extraction-synthesis'!L17)),"X","")</f>
        <v/>
      </c>
      <c r="I18" s="52" t="str">
        <f>IF(ISNUMBER(SEARCH("Survey to retrieve input relevant for TPP",'Data extraction-synthesis'!L17)),"X","")</f>
        <v/>
      </c>
      <c r="J18" s="52" t="str">
        <f>IF(ISNUMBER(SEARCH("Landscaping exercise",'Data extraction-synthesis'!L17)),"X","")</f>
        <v/>
      </c>
      <c r="K18" s="52" t="str">
        <f>IF(ISNUMBER(SEARCH("Draft TPP",'Data extraction-synthesis'!L17)),"X","")</f>
        <v>X</v>
      </c>
      <c r="L18" s="52" t="str">
        <f>IF(ISNUMBER(SEARCH("Round of revisions of TPP",'Data extraction-synthesis'!L17)),"X","")</f>
        <v/>
      </c>
      <c r="M18" s="52" t="str">
        <f>IF(ISNUMBER(SEARCH("Draft shortened TPP",'Data extraction-synthesis'!L17)),"X","")</f>
        <v>X</v>
      </c>
      <c r="N18" s="52" t="str">
        <f>IF(ISNUMBER(SEARCH("Presentation of shortened TPP to large stakeholder audience",'Data extraction-synthesis'!L17)),"X","")</f>
        <v/>
      </c>
      <c r="O18" s="52" t="str">
        <f>IF(ISNUMBER(SEARCH("Identification of most important needs",'Data extraction-synthesis'!L17)),"X","")</f>
        <v>X</v>
      </c>
      <c r="P18" s="52" t="str">
        <f>IF(ISNUMBER(SEARCH("Prioritization exercise",'Data extraction-synthesis'!L17)),"X","")</f>
        <v/>
      </c>
      <c r="Q18" s="52" t="str">
        <f>IF(ISNUMBER(SEARCH("Delphi-like approach to gauge stakeholders’ agreement with the TPP",'Data extraction-synthesis'!L17)),"X","")</f>
        <v>X</v>
      </c>
      <c r="R18" s="52" t="str">
        <f>IF(ISNUMBER(SEARCH("Data analysis",'Data extraction-synthesis'!L17)),"X","")</f>
        <v/>
      </c>
      <c r="S18" s="52" t="str">
        <f>IF(ISNUMBER(SEARCH("Definition problem statement/use case  ",'Data extraction-synthesis'!L17)),"X","")</f>
        <v>X</v>
      </c>
      <c r="T18" s="52" t="str">
        <f>IF(ISNUMBER(SEARCH("Identification of stakeholders to involve in draft TPP ",'Data extraction-synthesis'!L17)),"X","")</f>
        <v/>
      </c>
      <c r="U18" s="52" t="str">
        <f>IF(ISNUMBER(SEARCH("Definition TPP domains ",'Data extraction-synthesis'!L17)),"X","")</f>
        <v/>
      </c>
      <c r="V18" s="52" t="str">
        <f>IF(ISNUMBER(SEARCH("Survey to measure stakeholder’s preferences and agreement ",'Data extraction-synthesis'!L17)),"X","")</f>
        <v/>
      </c>
      <c r="W18" s="52" t="str">
        <f>IF(ISNUMBER(SEARCH("Reviewing available literature and data",'Data extraction-synthesis'!L17)),"X","")</f>
        <v/>
      </c>
      <c r="X18" s="52" t="str">
        <f>IF(ISNUMBER(SEARCH("Defining scope TPP ",'Data extraction-synthesis'!L17)),"X","")</f>
        <v/>
      </c>
      <c r="Y18" s="52" t="str">
        <f>IF(ISNUMBER(SEARCH("Interview with stakeholders",'Data extraction-synthesis'!L17)),"X","")</f>
        <v/>
      </c>
      <c r="Z18" s="52" t="str">
        <f>IF(ISNUMBER(SEARCH("Field research ",'Data extraction-synthesis'!L17)),"X","")</f>
        <v/>
      </c>
      <c r="AA18" s="52" t="str">
        <f>IF(ISNUMBER(SEARCH("Consolidation of findings",'Data extraction-synthesis'!L17)),"X","")</f>
        <v>X</v>
      </c>
      <c r="AB18" s="52" t="str">
        <f>IF(ISNUMBER(SEARCH("N/A",'Data extraction-synthesis'!L17)),"X","")</f>
        <v/>
      </c>
    </row>
    <row r="19" spans="1:28" ht="106.2">
      <c r="A19" s="56" t="s">
        <v>58</v>
      </c>
      <c r="B19" s="22" t="s">
        <v>60</v>
      </c>
      <c r="C19" s="52" t="str">
        <f>IF(ISNUMBER(SEARCH("Consensus/public meeting",'Data extraction-synthesis'!L18)),"X","")</f>
        <v/>
      </c>
      <c r="D19" s="52" t="str">
        <f>IF(ISNUMBER(SEARCH("Meeting with experts/stakeholders",'Data extraction-synthesis'!L18)),"X","")</f>
        <v/>
      </c>
      <c r="E19" s="52" t="str">
        <f>IF(ISNUMBER(SEARCH("Feedback from the consultation (e.g. survey, meeting, expert opinion) is incorporated into the final TPPs",'Data extraction-synthesis'!L18)),"X","")</f>
        <v/>
      </c>
      <c r="F19" s="52" t="str">
        <f>IF(ISNUMBER(SEARCH("Mapping",'Data extraction-synthesis'!L18)),"X","")</f>
        <v/>
      </c>
      <c r="G19" s="52" t="str">
        <f>IF(ISNUMBER(SEARCH("Market analyses",'Data extraction-synthesis'!L18)),"X","")</f>
        <v/>
      </c>
      <c r="H19" s="52" t="str">
        <f>IF(ISNUMBER(SEARCH("Literature search",'Data extraction-synthesis'!L18)),"X","")</f>
        <v/>
      </c>
      <c r="I19" s="52" t="str">
        <f>IF(ISNUMBER(SEARCH("Survey to retrieve input relevant for TPP",'Data extraction-synthesis'!L18)),"X","")</f>
        <v/>
      </c>
      <c r="J19" s="52" t="str">
        <f>IF(ISNUMBER(SEARCH("Landscaping exercise",'Data extraction-synthesis'!L18)),"X","")</f>
        <v/>
      </c>
      <c r="K19" s="52" t="str">
        <f>IF(ISNUMBER(SEARCH("Draft TPP",'Data extraction-synthesis'!L18)),"X","")</f>
        <v>X</v>
      </c>
      <c r="L19" s="52" t="str">
        <f>IF(ISNUMBER(SEARCH("Round of revisions of TPP",'Data extraction-synthesis'!L18)),"X","")</f>
        <v/>
      </c>
      <c r="M19" s="52" t="str">
        <f>IF(ISNUMBER(SEARCH("Draft shortened TPP",'Data extraction-synthesis'!L18)),"X","")</f>
        <v/>
      </c>
      <c r="N19" s="52" t="str">
        <f>IF(ISNUMBER(SEARCH("Presentation of shortened TPP to large stakeholder audience",'Data extraction-synthesis'!L18)),"X","")</f>
        <v/>
      </c>
      <c r="O19" s="52" t="str">
        <f>IF(ISNUMBER(SEARCH("Identification of most important needs",'Data extraction-synthesis'!L18)),"X","")</f>
        <v/>
      </c>
      <c r="P19" s="52" t="str">
        <f>IF(ISNUMBER(SEARCH("Prioritization exercise",'Data extraction-synthesis'!L18)),"X","")</f>
        <v/>
      </c>
      <c r="Q19" s="52" t="str">
        <f>IF(ISNUMBER(SEARCH("Delphi-like approach to gauge stakeholders’ agreement with the TPP",'Data extraction-synthesis'!L18)),"X","")</f>
        <v>X</v>
      </c>
      <c r="R19" s="52" t="str">
        <f>IF(ISNUMBER(SEARCH("Data analysis",'Data extraction-synthesis'!L18)),"X","")</f>
        <v/>
      </c>
      <c r="S19" s="52" t="str">
        <f>IF(ISNUMBER(SEARCH("Definition problem statement/use case  ",'Data extraction-synthesis'!L18)),"X","")</f>
        <v/>
      </c>
      <c r="T19" s="52" t="str">
        <f>IF(ISNUMBER(SEARCH("Identification of stakeholders to involve in draft TPP ",'Data extraction-synthesis'!L18)),"X","")</f>
        <v/>
      </c>
      <c r="U19" s="52" t="str">
        <f>IF(ISNUMBER(SEARCH("Definition TPP domains ",'Data extraction-synthesis'!L18)),"X","")</f>
        <v/>
      </c>
      <c r="V19" s="52" t="str">
        <f>IF(ISNUMBER(SEARCH("Survey to measure stakeholder’s preferences and agreement ",'Data extraction-synthesis'!L18)),"X","")</f>
        <v/>
      </c>
      <c r="W19" s="52" t="str">
        <f>IF(ISNUMBER(SEARCH("Reviewing available literature and data",'Data extraction-synthesis'!L18)),"X","")</f>
        <v/>
      </c>
      <c r="X19" s="52" t="str">
        <f>IF(ISNUMBER(SEARCH("Defining scope TPP ",'Data extraction-synthesis'!L18)),"X","")</f>
        <v/>
      </c>
      <c r="Y19" s="52" t="str">
        <f>IF(ISNUMBER(SEARCH("Interview with stakeholders",'Data extraction-synthesis'!L18)),"X","")</f>
        <v/>
      </c>
      <c r="Z19" s="52" t="str">
        <f>IF(ISNUMBER(SEARCH("Field research ",'Data extraction-synthesis'!L18)),"X","")</f>
        <v/>
      </c>
      <c r="AA19" s="52" t="str">
        <f>IF(ISNUMBER(SEARCH("Consolidation of findings",'Data extraction-synthesis'!L18)),"X","")</f>
        <v/>
      </c>
      <c r="AB19" s="52" t="str">
        <f>IF(ISNUMBER(SEARCH("N/A",'Data extraction-synthesis'!L18)),"X","")</f>
        <v/>
      </c>
    </row>
    <row r="20" spans="1:28" ht="159">
      <c r="A20" s="56" t="s">
        <v>61</v>
      </c>
      <c r="B20" s="22" t="s">
        <v>62</v>
      </c>
      <c r="C20" s="52" t="str">
        <f>IF(ISNUMBER(SEARCH("Consensus/public meeting",'Data extraction-synthesis'!L19)),"X","")</f>
        <v/>
      </c>
      <c r="D20" s="52" t="str">
        <f>IF(ISNUMBER(SEARCH("Meeting with experts/stakeholders",'Data extraction-synthesis'!L19)),"X","")</f>
        <v/>
      </c>
      <c r="E20" s="52" t="str">
        <f>IF(ISNUMBER(SEARCH("Feedback from the consultation (e.g. survey, meeting, expert opinion) is incorporated into the final TPPs",'Data extraction-synthesis'!L19)),"X","")</f>
        <v/>
      </c>
      <c r="F20" s="52" t="str">
        <f>IF(ISNUMBER(SEARCH("Mapping",'Data extraction-synthesis'!L19)),"X","")</f>
        <v/>
      </c>
      <c r="G20" s="52" t="str">
        <f>IF(ISNUMBER(SEARCH("Market analyses",'Data extraction-synthesis'!L19)),"X","")</f>
        <v/>
      </c>
      <c r="H20" s="52" t="str">
        <f>IF(ISNUMBER(SEARCH("Literature search",'Data extraction-synthesis'!L19)),"X","")</f>
        <v/>
      </c>
      <c r="I20" s="52" t="str">
        <f>IF(ISNUMBER(SEARCH("Survey to retrieve input relevant for TPP",'Data extraction-synthesis'!L19)),"X","")</f>
        <v/>
      </c>
      <c r="J20" s="52" t="str">
        <f>IF(ISNUMBER(SEARCH("Landscaping exercise",'Data extraction-synthesis'!L19)),"X","")</f>
        <v/>
      </c>
      <c r="K20" s="52" t="str">
        <f>IF(ISNUMBER(SEARCH("Draft TPP",'Data extraction-synthesis'!L19)),"X","")</f>
        <v>X</v>
      </c>
      <c r="L20" s="52" t="str">
        <f>IF(ISNUMBER(SEARCH("Round of revisions of TPP",'Data extraction-synthesis'!L19)),"X","")</f>
        <v>X</v>
      </c>
      <c r="M20" s="52" t="str">
        <f>IF(ISNUMBER(SEARCH("Draft shortened TPP",'Data extraction-synthesis'!L19)),"X","")</f>
        <v/>
      </c>
      <c r="N20" s="52" t="str">
        <f>IF(ISNUMBER(SEARCH("Presentation of shortened TPP to large stakeholder audience",'Data extraction-synthesis'!L19)),"X","")</f>
        <v/>
      </c>
      <c r="O20" s="52" t="str">
        <f>IF(ISNUMBER(SEARCH("Identification of most important needs",'Data extraction-synthesis'!L19)),"X","")</f>
        <v/>
      </c>
      <c r="P20" s="52" t="str">
        <f>IF(ISNUMBER(SEARCH("Prioritization exercise",'Data extraction-synthesis'!L19)),"X","")</f>
        <v/>
      </c>
      <c r="Q20" s="52" t="str">
        <f>IF(ISNUMBER(SEARCH("Delphi-like approach to gauge stakeholders’ agreement with the TPP",'Data extraction-synthesis'!L19)),"X","")</f>
        <v/>
      </c>
      <c r="R20" s="52" t="str">
        <f>IF(ISNUMBER(SEARCH("Data analysis",'Data extraction-synthesis'!L19)),"X","")</f>
        <v/>
      </c>
      <c r="S20" s="52" t="str">
        <f>IF(ISNUMBER(SEARCH("Definition problem statement/use case  ",'Data extraction-synthesis'!L19)),"X","")</f>
        <v/>
      </c>
      <c r="T20" s="52" t="str">
        <f>IF(ISNUMBER(SEARCH("Identification of stakeholders to involve in draft TPP ",'Data extraction-synthesis'!L19)),"X","")</f>
        <v/>
      </c>
      <c r="U20" s="52" t="str">
        <f>IF(ISNUMBER(SEARCH("Definition TPP domains ",'Data extraction-synthesis'!L19)),"X","")</f>
        <v/>
      </c>
      <c r="V20" s="52" t="str">
        <f>IF(ISNUMBER(SEARCH("Survey to measure stakeholder’s preferences and agreement ",'Data extraction-synthesis'!L19)),"X","")</f>
        <v/>
      </c>
      <c r="W20" s="52" t="str">
        <f>IF(ISNUMBER(SEARCH("Reviewing available literature and data",'Data extraction-synthesis'!L19)),"X","")</f>
        <v/>
      </c>
      <c r="X20" s="52" t="str">
        <f>IF(ISNUMBER(SEARCH("Defining scope TPP ",'Data extraction-synthesis'!L19)),"X","")</f>
        <v/>
      </c>
      <c r="Y20" s="52" t="str">
        <f>IF(ISNUMBER(SEARCH("Interview with stakeholders",'Data extraction-synthesis'!L19)),"X","")</f>
        <v/>
      </c>
      <c r="Z20" s="52" t="str">
        <f>IF(ISNUMBER(SEARCH("Field research ",'Data extraction-synthesis'!L19)),"X","")</f>
        <v/>
      </c>
      <c r="AA20" s="52" t="str">
        <f>IF(ISNUMBER(SEARCH("Consolidation of findings",'Data extraction-synthesis'!L19)),"X","")</f>
        <v/>
      </c>
      <c r="AB20" s="52" t="str">
        <f>IF(ISNUMBER(SEARCH("N/A",'Data extraction-synthesis'!L19)),"X","")</f>
        <v/>
      </c>
    </row>
    <row r="21" spans="1:28" ht="79.8">
      <c r="A21" s="56" t="s">
        <v>61</v>
      </c>
      <c r="B21" s="22" t="s">
        <v>63</v>
      </c>
      <c r="C21" s="52" t="str">
        <f>IF(ISNUMBER(SEARCH("Consensus/public meeting",'Data extraction-synthesis'!L20)),"X","")</f>
        <v/>
      </c>
      <c r="D21" s="52" t="str">
        <f>IF(ISNUMBER(SEARCH("Meeting with experts/stakeholders",'Data extraction-synthesis'!L20)),"X","")</f>
        <v/>
      </c>
      <c r="E21" s="52" t="str">
        <f>IF(ISNUMBER(SEARCH("Feedback from the consultation (e.g. survey, meeting, expert opinion) is incorporated into the final TPPs",'Data extraction-synthesis'!L20)),"X","")</f>
        <v>X</v>
      </c>
      <c r="F21" s="52" t="str">
        <f>IF(ISNUMBER(SEARCH("Mapping",'Data extraction-synthesis'!L20)),"X","")</f>
        <v/>
      </c>
      <c r="G21" s="52" t="str">
        <f>IF(ISNUMBER(SEARCH("Market analyses",'Data extraction-synthesis'!L20)),"X","")</f>
        <v/>
      </c>
      <c r="H21" s="52" t="str">
        <f>IF(ISNUMBER(SEARCH("Literature search",'Data extraction-synthesis'!L20)),"X","")</f>
        <v/>
      </c>
      <c r="I21" s="52" t="str">
        <f>IF(ISNUMBER(SEARCH("Survey to retrieve input relevant for TPP",'Data extraction-synthesis'!L20)),"X","")</f>
        <v/>
      </c>
      <c r="J21" s="52" t="str">
        <f>IF(ISNUMBER(SEARCH("Landscaping exercise",'Data extraction-synthesis'!L20)),"X","")</f>
        <v/>
      </c>
      <c r="K21" s="52" t="str">
        <f>IF(ISNUMBER(SEARCH("Draft TPP",'Data extraction-synthesis'!L20)),"X","")</f>
        <v>X</v>
      </c>
      <c r="L21" s="52" t="str">
        <f>IF(ISNUMBER(SEARCH("Round of revisions of TPP",'Data extraction-synthesis'!L20)),"X","")</f>
        <v>X</v>
      </c>
      <c r="M21" s="52" t="str">
        <f>IF(ISNUMBER(SEARCH("Draft shortened TPP",'Data extraction-synthesis'!L20)),"X","")</f>
        <v/>
      </c>
      <c r="N21" s="52" t="str">
        <f>IF(ISNUMBER(SEARCH("Presentation of shortened TPP to large stakeholder audience",'Data extraction-synthesis'!L20)),"X","")</f>
        <v/>
      </c>
      <c r="O21" s="52" t="str">
        <f>IF(ISNUMBER(SEARCH("Identification of most important needs",'Data extraction-synthesis'!L20)),"X","")</f>
        <v/>
      </c>
      <c r="P21" s="52" t="str">
        <f>IF(ISNUMBER(SEARCH("Prioritization exercise",'Data extraction-synthesis'!L20)),"X","")</f>
        <v/>
      </c>
      <c r="Q21" s="52" t="str">
        <f>IF(ISNUMBER(SEARCH("Delphi-like approach to gauge stakeholders’ agreement with the TPP",'Data extraction-synthesis'!L20)),"X","")</f>
        <v/>
      </c>
      <c r="R21" s="52" t="str">
        <f>IF(ISNUMBER(SEARCH("Data analysis",'Data extraction-synthesis'!L20)),"X","")</f>
        <v/>
      </c>
      <c r="S21" s="52" t="str">
        <f>IF(ISNUMBER(SEARCH("Definition problem statement/use case  ",'Data extraction-synthesis'!L20)),"X","")</f>
        <v>X</v>
      </c>
      <c r="T21" s="52" t="str">
        <f>IF(ISNUMBER(SEARCH("Identification of stakeholders to involve in draft TPP ",'Data extraction-synthesis'!L20)),"X","")</f>
        <v/>
      </c>
      <c r="U21" s="52" t="str">
        <f>IF(ISNUMBER(SEARCH("Definition TPP domains ",'Data extraction-synthesis'!L20)),"X","")</f>
        <v/>
      </c>
      <c r="V21" s="52" t="str">
        <f>IF(ISNUMBER(SEARCH("Survey to measure stakeholder’s preferences and agreement ",'Data extraction-synthesis'!L20)),"X","")</f>
        <v/>
      </c>
      <c r="W21" s="52" t="str">
        <f>IF(ISNUMBER(SEARCH("Reviewing available literature and data",'Data extraction-synthesis'!L20)),"X","")</f>
        <v>X</v>
      </c>
      <c r="X21" s="52" t="str">
        <f>IF(ISNUMBER(SEARCH("Defining scope TPP ",'Data extraction-synthesis'!L20)),"X","")</f>
        <v/>
      </c>
      <c r="Y21" s="52" t="str">
        <f>IF(ISNUMBER(SEARCH("Interview with stakeholders",'Data extraction-synthesis'!L20)),"X","")</f>
        <v/>
      </c>
      <c r="Z21" s="52" t="str">
        <f>IF(ISNUMBER(SEARCH("Field research ",'Data extraction-synthesis'!L20)),"X","")</f>
        <v/>
      </c>
      <c r="AA21" s="52" t="str">
        <f>IF(ISNUMBER(SEARCH("Consolidation of findings",'Data extraction-synthesis'!L20)),"X","")</f>
        <v/>
      </c>
      <c r="AB21" s="52" t="str">
        <f>IF(ISNUMBER(SEARCH("N/A",'Data extraction-synthesis'!L20)),"X","")</f>
        <v/>
      </c>
    </row>
    <row r="22" spans="1:28" ht="66.6">
      <c r="A22" s="56" t="s">
        <v>61</v>
      </c>
      <c r="B22" s="22" t="s">
        <v>64</v>
      </c>
      <c r="C22" s="52" t="str">
        <f>IF(ISNUMBER(SEARCH("Consensus/public meeting",'Data extraction-synthesis'!L21)),"X","")</f>
        <v/>
      </c>
      <c r="D22" s="52" t="str">
        <f>IF(ISNUMBER(SEARCH("Meeting with experts/stakeholders",'Data extraction-synthesis'!L21)),"X","")</f>
        <v/>
      </c>
      <c r="E22" s="52" t="str">
        <f>IF(ISNUMBER(SEARCH("Feedback from the consultation (e.g. survey, meeting, expert opinion) is incorporated into the final TPPs",'Data extraction-synthesis'!L21)),"X","")</f>
        <v/>
      </c>
      <c r="F22" s="52" t="str">
        <f>IF(ISNUMBER(SEARCH("Mapping",'Data extraction-synthesis'!L21)),"X","")</f>
        <v/>
      </c>
      <c r="G22" s="52" t="str">
        <f>IF(ISNUMBER(SEARCH("Market analyses",'Data extraction-synthesis'!L21)),"X","")</f>
        <v/>
      </c>
      <c r="H22" s="52" t="str">
        <f>IF(ISNUMBER(SEARCH("Literature search",'Data extraction-synthesis'!L21)),"X","")</f>
        <v/>
      </c>
      <c r="I22" s="52" t="str">
        <f>IF(ISNUMBER(SEARCH("Survey to retrieve input relevant for TPP",'Data extraction-synthesis'!L21)),"X","")</f>
        <v/>
      </c>
      <c r="J22" s="52" t="str">
        <f>IF(ISNUMBER(SEARCH("Landscaping exercise",'Data extraction-synthesis'!L21)),"X","")</f>
        <v/>
      </c>
      <c r="K22" s="52" t="str">
        <f>IF(ISNUMBER(SEARCH("Draft TPP",'Data extraction-synthesis'!L21)),"X","")</f>
        <v/>
      </c>
      <c r="L22" s="52" t="str">
        <f>IF(ISNUMBER(SEARCH("Round of revisions of TPP",'Data extraction-synthesis'!L21)),"X","")</f>
        <v/>
      </c>
      <c r="M22" s="52" t="str">
        <f>IF(ISNUMBER(SEARCH("Draft shortened TPP",'Data extraction-synthesis'!L21)),"X","")</f>
        <v/>
      </c>
      <c r="N22" s="52" t="str">
        <f>IF(ISNUMBER(SEARCH("Presentation of shortened TPP to large stakeholder audience",'Data extraction-synthesis'!L21)),"X","")</f>
        <v/>
      </c>
      <c r="O22" s="52" t="str">
        <f>IF(ISNUMBER(SEARCH("Identification of most important needs",'Data extraction-synthesis'!L21)),"X","")</f>
        <v/>
      </c>
      <c r="P22" s="52" t="str">
        <f>IF(ISNUMBER(SEARCH("Prioritization exercise",'Data extraction-synthesis'!L21)),"X","")</f>
        <v/>
      </c>
      <c r="Q22" s="52" t="str">
        <f>IF(ISNUMBER(SEARCH("Delphi-like approach to gauge stakeholders’ agreement with the TPP",'Data extraction-synthesis'!L21)),"X","")</f>
        <v/>
      </c>
      <c r="R22" s="52" t="str">
        <f>IF(ISNUMBER(SEARCH("Data analysis",'Data extraction-synthesis'!L21)),"X","")</f>
        <v/>
      </c>
      <c r="S22" s="52" t="str">
        <f>IF(ISNUMBER(SEARCH("Definition problem statement/use case  ",'Data extraction-synthesis'!L21)),"X","")</f>
        <v/>
      </c>
      <c r="T22" s="52" t="str">
        <f>IF(ISNUMBER(SEARCH("Identification of stakeholders to involve in draft TPP ",'Data extraction-synthesis'!L21)),"X","")</f>
        <v/>
      </c>
      <c r="U22" s="52" t="str">
        <f>IF(ISNUMBER(SEARCH("Definition TPP domains ",'Data extraction-synthesis'!L21)),"X","")</f>
        <v/>
      </c>
      <c r="V22" s="52" t="str">
        <f>IF(ISNUMBER(SEARCH("Survey to measure stakeholder’s preferences and agreement ",'Data extraction-synthesis'!L21)),"X","")</f>
        <v/>
      </c>
      <c r="W22" s="52" t="str">
        <f>IF(ISNUMBER(SEARCH("Reviewing available literature and data",'Data extraction-synthesis'!L21)),"X","")</f>
        <v/>
      </c>
      <c r="X22" s="52" t="str">
        <f>IF(ISNUMBER(SEARCH("Defining scope TPP ",'Data extraction-synthesis'!L21)),"X","")</f>
        <v/>
      </c>
      <c r="Y22" s="52" t="str">
        <f>IF(ISNUMBER(SEARCH("Interview with stakeholders",'Data extraction-synthesis'!L21)),"X","")</f>
        <v/>
      </c>
      <c r="Z22" s="52" t="str">
        <f>IF(ISNUMBER(SEARCH("Field research ",'Data extraction-synthesis'!L21)),"X","")</f>
        <v/>
      </c>
      <c r="AA22" s="52" t="str">
        <f>IF(ISNUMBER(SEARCH("Consolidation of findings",'Data extraction-synthesis'!L21)),"X","")</f>
        <v/>
      </c>
      <c r="AB22" s="52" t="str">
        <f>IF(ISNUMBER(SEARCH("N/A",'Data extraction-synthesis'!L21)),"X","")</f>
        <v>X</v>
      </c>
    </row>
    <row r="23" spans="1:28" ht="66.6">
      <c r="A23" s="56" t="s">
        <v>65</v>
      </c>
      <c r="B23" s="22" t="s">
        <v>66</v>
      </c>
      <c r="C23" s="52" t="str">
        <f>IF(ISNUMBER(SEARCH("Consensus/public meeting",#REF!)),"X","")</f>
        <v/>
      </c>
      <c r="D23" s="52" t="str">
        <f>IF(ISNUMBER(SEARCH("Meeting with experts/stakeholders",#REF!)),"X","")</f>
        <v/>
      </c>
      <c r="E23" s="52" t="str">
        <f>IF(ISNUMBER(SEARCH("Feedback from the consultation (e.g. survey, meeting, expert opinion) is incorporated into the final TPPs",#REF!)),"X","")</f>
        <v/>
      </c>
      <c r="F23" s="52" t="str">
        <f>IF(ISNUMBER(SEARCH("Mapping",#REF!)),"X","")</f>
        <v/>
      </c>
      <c r="G23" s="52" t="str">
        <f>IF(ISNUMBER(SEARCH("Market analyses",#REF!)),"X","")</f>
        <v/>
      </c>
      <c r="H23" s="52" t="str">
        <f>IF(ISNUMBER(SEARCH("Literature search",#REF!)),"X","")</f>
        <v/>
      </c>
      <c r="I23" s="52" t="str">
        <f>IF(ISNUMBER(SEARCH("Survey to retrieve input relevant for TPP",#REF!)),"X","")</f>
        <v/>
      </c>
      <c r="J23" s="52" t="str">
        <f>IF(ISNUMBER(SEARCH("Landscaping exercise",#REF!)),"X","")</f>
        <v/>
      </c>
      <c r="K23" s="52" t="str">
        <f>IF(ISNUMBER(SEARCH("Draft TPP",#REF!)),"X","")</f>
        <v/>
      </c>
      <c r="L23" s="52" t="str">
        <f>IF(ISNUMBER(SEARCH("Round of revisions of TPP",#REF!)),"X","")</f>
        <v/>
      </c>
      <c r="M23" s="52" t="str">
        <f>IF(ISNUMBER(SEARCH("Draft shortened TPP",#REF!)),"X","")</f>
        <v/>
      </c>
      <c r="N23" s="52" t="str">
        <f>IF(ISNUMBER(SEARCH("Presentation of shortened TPP to large stakeholder audience",#REF!)),"X","")</f>
        <v/>
      </c>
      <c r="O23" s="52" t="str">
        <f>IF(ISNUMBER(SEARCH("Identification of most important needs",#REF!)),"X","")</f>
        <v/>
      </c>
      <c r="P23" s="52" t="str">
        <f>IF(ISNUMBER(SEARCH("Prioritization exercise",#REF!)),"X","")</f>
        <v/>
      </c>
      <c r="Q23" s="52" t="str">
        <f>IF(ISNUMBER(SEARCH("Delphi-like approach to gauge stakeholders’ agreement with the TPP",#REF!)),"X","")</f>
        <v/>
      </c>
      <c r="R23" s="52" t="str">
        <f>IF(ISNUMBER(SEARCH("Data analysis",#REF!)),"X","")</f>
        <v/>
      </c>
      <c r="S23" s="52" t="str">
        <f>IF(ISNUMBER(SEARCH("Definition problem statement/use case  ",#REF!)),"X","")</f>
        <v/>
      </c>
      <c r="T23" s="52" t="str">
        <f>IF(ISNUMBER(SEARCH("Identification of stakeholders to involve in draft TPP ",#REF!)),"X","")</f>
        <v/>
      </c>
      <c r="U23" s="52" t="str">
        <f>IF(ISNUMBER(SEARCH("Definition TPP domains ",#REF!)),"X","")</f>
        <v/>
      </c>
      <c r="V23" s="52" t="str">
        <f>IF(ISNUMBER(SEARCH("Survey to measure stakeholder’s preferences and agreement ",#REF!)),"X","")</f>
        <v/>
      </c>
      <c r="W23" s="52" t="str">
        <f>IF(ISNUMBER(SEARCH("Reviewing available literature and data",#REF!)),"X","")</f>
        <v/>
      </c>
      <c r="X23" s="52" t="str">
        <f>IF(ISNUMBER(SEARCH("Defining scope TPP ",#REF!)),"X","")</f>
        <v/>
      </c>
      <c r="Y23" s="52" t="str">
        <f>IF(ISNUMBER(SEARCH("Interview with stakeholders",#REF!)),"X","")</f>
        <v/>
      </c>
      <c r="Z23" s="52" t="str">
        <f>IF(ISNUMBER(SEARCH("Field research ",#REF!)),"X","")</f>
        <v/>
      </c>
      <c r="AA23" s="52" t="str">
        <f>IF(ISNUMBER(SEARCH("Consolidation of findings",#REF!)),"X","")</f>
        <v/>
      </c>
      <c r="AB23" s="52" t="str">
        <f>IF(ISNUMBER(SEARCH("N/A",#REF!)),"X","")</f>
        <v/>
      </c>
    </row>
    <row r="24" spans="1:28" ht="53.4">
      <c r="A24" s="56" t="s">
        <v>65</v>
      </c>
      <c r="B24" s="22" t="s">
        <v>67</v>
      </c>
      <c r="C24" s="52" t="str">
        <f>IF(ISNUMBER(SEARCH("Consensus/public meeting",'Data extraction-synthesis'!L22)),"X","")</f>
        <v/>
      </c>
      <c r="D24" s="52" t="str">
        <f>IF(ISNUMBER(SEARCH("Meeting with experts/stakeholders",'Data extraction-synthesis'!L22)),"X","")</f>
        <v/>
      </c>
      <c r="E24" s="52" t="str">
        <f>IF(ISNUMBER(SEARCH("Feedback from the consultation (e.g. survey, meeting, expert opinion) is incorporated into the final TPPs",'Data extraction-synthesis'!L22)),"X","")</f>
        <v/>
      </c>
      <c r="F24" s="52" t="str">
        <f>IF(ISNUMBER(SEARCH("Mapping",'Data extraction-synthesis'!L22)),"X","")</f>
        <v/>
      </c>
      <c r="G24" s="52" t="str">
        <f>IF(ISNUMBER(SEARCH("Market analyses",'Data extraction-synthesis'!L22)),"X","")</f>
        <v/>
      </c>
      <c r="H24" s="52" t="str">
        <f>IF(ISNUMBER(SEARCH("Literature search",'Data extraction-synthesis'!L22)),"X","")</f>
        <v/>
      </c>
      <c r="I24" s="52" t="str">
        <f>IF(ISNUMBER(SEARCH("Survey to retrieve input relevant for TPP",'Data extraction-synthesis'!L22)),"X","")</f>
        <v/>
      </c>
      <c r="J24" s="52" t="str">
        <f>IF(ISNUMBER(SEARCH("Landscaping exercise",'Data extraction-synthesis'!L22)),"X","")</f>
        <v/>
      </c>
      <c r="K24" s="52" t="str">
        <f>IF(ISNUMBER(SEARCH("Draft TPP",'Data extraction-synthesis'!L22)),"X","")</f>
        <v/>
      </c>
      <c r="L24" s="52" t="str">
        <f>IF(ISNUMBER(SEARCH("Round of revisions of TPP",'Data extraction-synthesis'!L22)),"X","")</f>
        <v/>
      </c>
      <c r="M24" s="52" t="str">
        <f>IF(ISNUMBER(SEARCH("Draft shortened TPP",'Data extraction-synthesis'!L22)),"X","")</f>
        <v/>
      </c>
      <c r="N24" s="52" t="str">
        <f>IF(ISNUMBER(SEARCH("Presentation of shortened TPP to large stakeholder audience",'Data extraction-synthesis'!L22)),"X","")</f>
        <v/>
      </c>
      <c r="O24" s="52" t="str">
        <f>IF(ISNUMBER(SEARCH("Identification of most important needs",'Data extraction-synthesis'!L22)),"X","")</f>
        <v/>
      </c>
      <c r="P24" s="52" t="str">
        <f>IF(ISNUMBER(SEARCH("Prioritization exercise",'Data extraction-synthesis'!L22)),"X","")</f>
        <v/>
      </c>
      <c r="Q24" s="52" t="str">
        <f>IF(ISNUMBER(SEARCH("Delphi-like approach to gauge stakeholders’ agreement with the TPP",'Data extraction-synthesis'!L22)),"X","")</f>
        <v/>
      </c>
      <c r="R24" s="52" t="str">
        <f>IF(ISNUMBER(SEARCH("Data analysis",'Data extraction-synthesis'!L22)),"X","")</f>
        <v/>
      </c>
      <c r="S24" s="52" t="str">
        <f>IF(ISNUMBER(SEARCH("Definition problem statement/use case  ",'Data extraction-synthesis'!L22)),"X","")</f>
        <v/>
      </c>
      <c r="T24" s="52" t="str">
        <f>IF(ISNUMBER(SEARCH("Identification of stakeholders to involve in draft TPP ",'Data extraction-synthesis'!L22)),"X","")</f>
        <v/>
      </c>
      <c r="U24" s="52" t="str">
        <f>IF(ISNUMBER(SEARCH("Definition TPP domains ",'Data extraction-synthesis'!L22)),"X","")</f>
        <v/>
      </c>
      <c r="V24" s="52" t="str">
        <f>IF(ISNUMBER(SEARCH("Survey to measure stakeholder’s preferences and agreement ",'Data extraction-synthesis'!L22)),"X","")</f>
        <v/>
      </c>
      <c r="W24" s="52" t="str">
        <f>IF(ISNUMBER(SEARCH("Reviewing available literature and data",'Data extraction-synthesis'!L22)),"X","")</f>
        <v/>
      </c>
      <c r="X24" s="52" t="str">
        <f>IF(ISNUMBER(SEARCH("Defining scope TPP ",'Data extraction-synthesis'!L22)),"X","")</f>
        <v/>
      </c>
      <c r="Y24" s="52" t="str">
        <f>IF(ISNUMBER(SEARCH("Interview with stakeholders",'Data extraction-synthesis'!L22)),"X","")</f>
        <v/>
      </c>
      <c r="Z24" s="52" t="str">
        <f>IF(ISNUMBER(SEARCH("Field research ",'Data extraction-synthesis'!L22)),"X","")</f>
        <v/>
      </c>
      <c r="AA24" s="52" t="str">
        <f>IF(ISNUMBER(SEARCH("Consolidation of findings",'Data extraction-synthesis'!L22)),"X","")</f>
        <v/>
      </c>
      <c r="AB24" s="52" t="str">
        <f>IF(ISNUMBER(SEARCH("N/A",'Data extraction-synthesis'!L22)),"X","")</f>
        <v>X</v>
      </c>
    </row>
    <row r="25" spans="1:28" ht="106.2">
      <c r="A25" s="56" t="s">
        <v>36</v>
      </c>
      <c r="B25" s="22" t="s">
        <v>68</v>
      </c>
      <c r="C25" s="52" t="str">
        <f>IF(ISNUMBER(SEARCH("Consensus/public meeting",'Data extraction-synthesis'!L24)),"X","")</f>
        <v>X</v>
      </c>
      <c r="D25" s="52" t="str">
        <f>IF(ISNUMBER(SEARCH("Meeting with experts/stakeholders",'Data extraction-synthesis'!L24)),"X","")</f>
        <v/>
      </c>
      <c r="E25" s="52" t="str">
        <f>IF(ISNUMBER(SEARCH("Feedback from the consultation (e.g. survey, meeting, expert opinion) is incorporated into the final TPPs",'Data extraction-synthesis'!L24)),"X","")</f>
        <v/>
      </c>
      <c r="F25" s="52" t="str">
        <f>IF(ISNUMBER(SEARCH("Mapping",'Data extraction-synthesis'!L24)),"X","")</f>
        <v/>
      </c>
      <c r="G25" s="52" t="str">
        <f>IF(ISNUMBER(SEARCH("Market analyses",'Data extraction-synthesis'!L24)),"X","")</f>
        <v/>
      </c>
      <c r="H25" s="52" t="str">
        <f>IF(ISNUMBER(SEARCH("Literature search",'Data extraction-synthesis'!L24)),"X","")</f>
        <v/>
      </c>
      <c r="I25" s="52" t="str">
        <f>IF(ISNUMBER(SEARCH("Survey to retrieve input relevant for TPP",'Data extraction-synthesis'!L24)),"X","")</f>
        <v/>
      </c>
      <c r="J25" s="52" t="str">
        <f>IF(ISNUMBER(SEARCH("Landscaping exercise",'Data extraction-synthesis'!L24)),"X","")</f>
        <v/>
      </c>
      <c r="K25" s="52" t="str">
        <f>IF(ISNUMBER(SEARCH("Draft TPP",'Data extraction-synthesis'!L24)),"X","")</f>
        <v>X</v>
      </c>
      <c r="L25" s="52" t="str">
        <f>IF(ISNUMBER(SEARCH("Round of revisions of TPP",'Data extraction-synthesis'!L24)),"X","")</f>
        <v/>
      </c>
      <c r="M25" s="52" t="str">
        <f>IF(ISNUMBER(SEARCH("Draft shortened TPP",'Data extraction-synthesis'!L24)),"X","")</f>
        <v>X</v>
      </c>
      <c r="N25" s="52" t="str">
        <f>IF(ISNUMBER(SEARCH("Presentation of shortened TPP to large stakeholder audience",'Data extraction-synthesis'!L24)),"X","")</f>
        <v/>
      </c>
      <c r="O25" s="52" t="str">
        <f>IF(ISNUMBER(SEARCH("Identification of most important needs",'Data extraction-synthesis'!L24)),"X","")</f>
        <v/>
      </c>
      <c r="P25" s="52" t="str">
        <f>IF(ISNUMBER(SEARCH("Prioritization exercise",'Data extraction-synthesis'!L24)),"X","")</f>
        <v>X</v>
      </c>
      <c r="Q25" s="52" t="str">
        <f>IF(ISNUMBER(SEARCH("Delphi-like approach to gauge stakeholders’ agreement with the TPP",'Data extraction-synthesis'!L24)),"X","")</f>
        <v>X</v>
      </c>
      <c r="R25" s="52" t="str">
        <f>IF(ISNUMBER(SEARCH("Data analysis",'Data extraction-synthesis'!L24)),"X","")</f>
        <v/>
      </c>
      <c r="S25" s="52" t="str">
        <f>IF(ISNUMBER(SEARCH("Definition problem statement/use case  ",'Data extraction-synthesis'!L24)),"X","")</f>
        <v/>
      </c>
      <c r="T25" s="52" t="str">
        <f>IF(ISNUMBER(SEARCH("Identification of stakeholders to involve in draft TPP ",'Data extraction-synthesis'!L24)),"X","")</f>
        <v/>
      </c>
      <c r="U25" s="52" t="str">
        <f>IF(ISNUMBER(SEARCH("Definition TPP domains ",'Data extraction-synthesis'!L24)),"X","")</f>
        <v/>
      </c>
      <c r="V25" s="52" t="str">
        <f>IF(ISNUMBER(SEARCH("Survey to measure stakeholder’s preferences and agreement ",'Data extraction-synthesis'!L24)),"X","")</f>
        <v/>
      </c>
      <c r="W25" s="52" t="str">
        <f>IF(ISNUMBER(SEARCH("Reviewing available literature and data",'Data extraction-synthesis'!L24)),"X","")</f>
        <v/>
      </c>
      <c r="X25" s="52" t="str">
        <f>IF(ISNUMBER(SEARCH("Defining scope TPP ",'Data extraction-synthesis'!L24)),"X","")</f>
        <v/>
      </c>
      <c r="Y25" s="52" t="str">
        <f>IF(ISNUMBER(SEARCH("Interview with stakeholders",'Data extraction-synthesis'!L24)),"X","")</f>
        <v/>
      </c>
      <c r="Z25" s="52" t="str">
        <f>IF(ISNUMBER(SEARCH("Field research ",'Data extraction-synthesis'!L24)),"X","")</f>
        <v/>
      </c>
      <c r="AA25" s="52" t="str">
        <f>IF(ISNUMBER(SEARCH("Consolidation of findings",'Data extraction-synthesis'!L24)),"X","")</f>
        <v/>
      </c>
      <c r="AB25" s="52" t="str">
        <f>IF(ISNUMBER(SEARCH("N/A",'Data extraction-synthesis'!L24)),"X","")</f>
        <v/>
      </c>
    </row>
    <row r="26" spans="1:28" ht="132.6">
      <c r="A26" s="56" t="s">
        <v>36</v>
      </c>
      <c r="B26" s="22" t="s">
        <v>69</v>
      </c>
      <c r="C26" s="52" t="str">
        <f>IF(ISNUMBER(SEARCH("Consensus/public meeting",'Data extraction-synthesis'!L25)),"X","")</f>
        <v>X</v>
      </c>
      <c r="D26" s="52" t="str">
        <f>IF(ISNUMBER(SEARCH("Meeting with experts/stakeholders",'Data extraction-synthesis'!L25)),"X","")</f>
        <v>X</v>
      </c>
      <c r="E26" s="52" t="str">
        <f>IF(ISNUMBER(SEARCH("Feedback from the consultation (e.g. survey, meeting, expert opinion) is incorporated into the final TPPs",'Data extraction-synthesis'!L25)),"X","")</f>
        <v/>
      </c>
      <c r="F26" s="52" t="str">
        <f>IF(ISNUMBER(SEARCH("Mapping",'Data extraction-synthesis'!L25)),"X","")</f>
        <v/>
      </c>
      <c r="G26" s="52" t="str">
        <f>IF(ISNUMBER(SEARCH("Market analyses",'Data extraction-synthesis'!L25)),"X","")</f>
        <v/>
      </c>
      <c r="H26" s="52" t="str">
        <f>IF(ISNUMBER(SEARCH("Literature search",'Data extraction-synthesis'!L25)),"X","")</f>
        <v/>
      </c>
      <c r="I26" s="52" t="str">
        <f>IF(ISNUMBER(SEARCH("Survey to retrieve input relevant for TPP",'Data extraction-synthesis'!L25)),"X","")</f>
        <v>X</v>
      </c>
      <c r="J26" s="52" t="str">
        <f>IF(ISNUMBER(SEARCH("Landscaping exercise",'Data extraction-synthesis'!L25)),"X","")</f>
        <v/>
      </c>
      <c r="K26" s="52" t="str">
        <f>IF(ISNUMBER(SEARCH("Draft TPP",'Data extraction-synthesis'!L25)),"X","")</f>
        <v>X</v>
      </c>
      <c r="L26" s="52" t="str">
        <f>IF(ISNUMBER(SEARCH("Round of revisions of TPP",'Data extraction-synthesis'!L25)),"X","")</f>
        <v/>
      </c>
      <c r="M26" s="52" t="str">
        <f>IF(ISNUMBER(SEARCH("Draft shortened TPP",'Data extraction-synthesis'!L25)),"X","")</f>
        <v/>
      </c>
      <c r="N26" s="52" t="str">
        <f>IF(ISNUMBER(SEARCH("Presentation of shortened TPP to large stakeholder audience",'Data extraction-synthesis'!L25)),"X","")</f>
        <v/>
      </c>
      <c r="O26" s="52" t="str">
        <f>IF(ISNUMBER(SEARCH("Identification of most important needs",'Data extraction-synthesis'!L25)),"X","")</f>
        <v/>
      </c>
      <c r="P26" s="52" t="str">
        <f>IF(ISNUMBER(SEARCH("Prioritization exercise",'Data extraction-synthesis'!L25)),"X","")</f>
        <v/>
      </c>
      <c r="Q26" s="52" t="str">
        <f>IF(ISNUMBER(SEARCH("Delphi-like approach to gauge stakeholders’ agreement with the TPP",'Data extraction-synthesis'!L25)),"X","")</f>
        <v>X</v>
      </c>
      <c r="R26" s="52" t="str">
        <f>IF(ISNUMBER(SEARCH("Data analysis",'Data extraction-synthesis'!L25)),"X","")</f>
        <v/>
      </c>
      <c r="S26" s="52" t="str">
        <f>IF(ISNUMBER(SEARCH("Definition problem statement/use case  ",'Data extraction-synthesis'!L25)),"X","")</f>
        <v/>
      </c>
      <c r="T26" s="52" t="str">
        <f>IF(ISNUMBER(SEARCH("Identification of stakeholders to involve in draft TPP ",'Data extraction-synthesis'!L25)),"X","")</f>
        <v/>
      </c>
      <c r="U26" s="52" t="str">
        <f>IF(ISNUMBER(SEARCH("Definition TPP domains ",'Data extraction-synthesis'!L25)),"X","")</f>
        <v/>
      </c>
      <c r="V26" s="52" t="str">
        <f>IF(ISNUMBER(SEARCH("Survey to measure stakeholder’s preferences and agreement ",'Data extraction-synthesis'!L25)),"X","")</f>
        <v/>
      </c>
      <c r="W26" s="52" t="str">
        <f>IF(ISNUMBER(SEARCH("Reviewing available literature and data",'Data extraction-synthesis'!L25)),"X","")</f>
        <v/>
      </c>
      <c r="X26" s="52" t="str">
        <f>IF(ISNUMBER(SEARCH("Defining scope TPP ",'Data extraction-synthesis'!L25)),"X","")</f>
        <v/>
      </c>
      <c r="Y26" s="52" t="str">
        <f>IF(ISNUMBER(SEARCH("Interview with stakeholders",'Data extraction-synthesis'!L25)),"X","")</f>
        <v/>
      </c>
      <c r="Z26" s="52" t="str">
        <f>IF(ISNUMBER(SEARCH("Field research ",'Data extraction-synthesis'!L25)),"X","")</f>
        <v/>
      </c>
      <c r="AA26" s="52" t="str">
        <f>IF(ISNUMBER(SEARCH("Consolidation of findings",'Data extraction-synthesis'!L25)),"X","")</f>
        <v/>
      </c>
      <c r="AB26" s="52" t="str">
        <f>IF(ISNUMBER(SEARCH("N/A",'Data extraction-synthesis'!L25)),"X","")</f>
        <v/>
      </c>
    </row>
    <row r="27" spans="1:28" ht="172.2">
      <c r="A27" s="56" t="s">
        <v>36</v>
      </c>
      <c r="B27" s="22" t="s">
        <v>70</v>
      </c>
      <c r="C27" s="52" t="str">
        <f>IF(ISNUMBER(SEARCH("Consensus/public meeting",'Data extraction-synthesis'!L26)),"X","")</f>
        <v/>
      </c>
      <c r="D27" s="52" t="str">
        <f>IF(ISNUMBER(SEARCH("Meeting with experts/stakeholders",'Data extraction-synthesis'!L26)),"X","")</f>
        <v/>
      </c>
      <c r="E27" s="52" t="str">
        <f>IF(ISNUMBER(SEARCH("Feedback from the consultation (e.g. survey, meeting, expert opinion) is incorporated into the final TPPs",'Data extraction-synthesis'!L26)),"X","")</f>
        <v/>
      </c>
      <c r="F27" s="52" t="str">
        <f>IF(ISNUMBER(SEARCH("Mapping",'Data extraction-synthesis'!L26)),"X","")</f>
        <v/>
      </c>
      <c r="G27" s="52" t="str">
        <f>IF(ISNUMBER(SEARCH("Market analyses",'Data extraction-synthesis'!L26)),"X","")</f>
        <v/>
      </c>
      <c r="H27" s="52" t="str">
        <f>IF(ISNUMBER(SEARCH("Literature search",'Data extraction-synthesis'!L26)),"X","")</f>
        <v/>
      </c>
      <c r="I27" s="52" t="str">
        <f>IF(ISNUMBER(SEARCH("Survey to retrieve input relevant for TPP",'Data extraction-synthesis'!L26)),"X","")</f>
        <v/>
      </c>
      <c r="J27" s="52" t="str">
        <f>IF(ISNUMBER(SEARCH("Landscaping exercise",'Data extraction-synthesis'!L26)),"X","")</f>
        <v/>
      </c>
      <c r="K27" s="52" t="str">
        <f>IF(ISNUMBER(SEARCH("Draft TPP",'Data extraction-synthesis'!L26)),"X","")</f>
        <v/>
      </c>
      <c r="L27" s="52" t="str">
        <f>IF(ISNUMBER(SEARCH("Round of revisions of TPP",'Data extraction-synthesis'!L26)),"X","")</f>
        <v/>
      </c>
      <c r="M27" s="52" t="str">
        <f>IF(ISNUMBER(SEARCH("Draft shortened TPP",'Data extraction-synthesis'!L26)),"X","")</f>
        <v/>
      </c>
      <c r="N27" s="52" t="str">
        <f>IF(ISNUMBER(SEARCH("Presentation of shortened TPP to large stakeholder audience",'Data extraction-synthesis'!L26)),"X","")</f>
        <v/>
      </c>
      <c r="O27" s="52" t="str">
        <f>IF(ISNUMBER(SEARCH("Identification of most important needs",'Data extraction-synthesis'!L26)),"X","")</f>
        <v/>
      </c>
      <c r="P27" s="52" t="str">
        <f>IF(ISNUMBER(SEARCH("Prioritization exercise",'Data extraction-synthesis'!L26)),"X","")</f>
        <v/>
      </c>
      <c r="Q27" s="52" t="str">
        <f>IF(ISNUMBER(SEARCH("Delphi-like approach to gauge stakeholders’ agreement with the TPP",'Data extraction-synthesis'!L26)),"X","")</f>
        <v/>
      </c>
      <c r="R27" s="52" t="str">
        <f>IF(ISNUMBER(SEARCH("Data analysis",'Data extraction-synthesis'!L26)),"X","")</f>
        <v/>
      </c>
      <c r="S27" s="52" t="str">
        <f>IF(ISNUMBER(SEARCH("Definition problem statement/use case  ",'Data extraction-synthesis'!L26)),"X","")</f>
        <v/>
      </c>
      <c r="T27" s="52" t="str">
        <f>IF(ISNUMBER(SEARCH("Identification of stakeholders to involve in draft TPP ",'Data extraction-synthesis'!L26)),"X","")</f>
        <v/>
      </c>
      <c r="U27" s="52" t="str">
        <f>IF(ISNUMBER(SEARCH("Definition TPP domains ",'Data extraction-synthesis'!L26)),"X","")</f>
        <v/>
      </c>
      <c r="V27" s="52" t="str">
        <f>IF(ISNUMBER(SEARCH("Survey to measure stakeholder’s preferences and agreement ",'Data extraction-synthesis'!L26)),"X","")</f>
        <v/>
      </c>
      <c r="W27" s="52" t="str">
        <f>IF(ISNUMBER(SEARCH("Reviewing available literature and data",'Data extraction-synthesis'!L26)),"X","")</f>
        <v/>
      </c>
      <c r="X27" s="52" t="str">
        <f>IF(ISNUMBER(SEARCH("Defining scope TPP ",'Data extraction-synthesis'!L26)),"X","")</f>
        <v/>
      </c>
      <c r="Y27" s="52" t="str">
        <f>IF(ISNUMBER(SEARCH("Interview with stakeholders",'Data extraction-synthesis'!L26)),"X","")</f>
        <v/>
      </c>
      <c r="Z27" s="52" t="str">
        <f>IF(ISNUMBER(SEARCH("Field research ",'Data extraction-synthesis'!L26)),"X","")</f>
        <v/>
      </c>
      <c r="AA27" s="52" t="str">
        <f>IF(ISNUMBER(SEARCH("Consolidation of findings",'Data extraction-synthesis'!L26)),"X","")</f>
        <v/>
      </c>
      <c r="AB27" s="52" t="str">
        <f>IF(ISNUMBER(SEARCH("N/A",'Data extraction-synthesis'!L26)),"X","")</f>
        <v>X</v>
      </c>
    </row>
    <row r="28" spans="1:28" ht="106.2">
      <c r="A28" s="56" t="s">
        <v>36</v>
      </c>
      <c r="B28" s="22" t="s">
        <v>71</v>
      </c>
      <c r="C28" s="52" t="str">
        <f>IF(ISNUMBER(SEARCH("Consensus/public meeting",'Data extraction-synthesis'!L27)),"X","")</f>
        <v/>
      </c>
      <c r="D28" s="52" t="str">
        <f>IF(ISNUMBER(SEARCH("Meeting with experts/stakeholders",'Data extraction-synthesis'!L27)),"X","")</f>
        <v/>
      </c>
      <c r="E28" s="52" t="str">
        <f>IF(ISNUMBER(SEARCH("Feedback from the consultation (e.g. survey, meeting, expert opinion) is incorporated into the final TPPs",'Data extraction-synthesis'!L27)),"X","")</f>
        <v/>
      </c>
      <c r="F28" s="52" t="str">
        <f>IF(ISNUMBER(SEARCH("Mapping",'Data extraction-synthesis'!L27)),"X","")</f>
        <v/>
      </c>
      <c r="G28" s="52" t="str">
        <f>IF(ISNUMBER(SEARCH("Market analyses",'Data extraction-synthesis'!L27)),"X","")</f>
        <v/>
      </c>
      <c r="H28" s="52" t="str">
        <f>IF(ISNUMBER(SEARCH("Literature search",'Data extraction-synthesis'!L27)),"X","")</f>
        <v/>
      </c>
      <c r="I28" s="52" t="str">
        <f>IF(ISNUMBER(SEARCH("Survey to retrieve input relevant for TPP",'Data extraction-synthesis'!L27)),"X","")</f>
        <v/>
      </c>
      <c r="J28" s="52" t="str">
        <f>IF(ISNUMBER(SEARCH("Landscaping exercise",'Data extraction-synthesis'!L27)),"X","")</f>
        <v/>
      </c>
      <c r="K28" s="52" t="str">
        <f>IF(ISNUMBER(SEARCH("Draft TPP",'Data extraction-synthesis'!L27)),"X","")</f>
        <v/>
      </c>
      <c r="L28" s="52" t="str">
        <f>IF(ISNUMBER(SEARCH("Round of revisions of TPP",'Data extraction-synthesis'!L27)),"X","")</f>
        <v/>
      </c>
      <c r="M28" s="52" t="str">
        <f>IF(ISNUMBER(SEARCH("Draft shortened TPP",'Data extraction-synthesis'!L27)),"X","")</f>
        <v/>
      </c>
      <c r="N28" s="52" t="str">
        <f>IF(ISNUMBER(SEARCH("Presentation of shortened TPP to large stakeholder audience",'Data extraction-synthesis'!L27)),"X","")</f>
        <v/>
      </c>
      <c r="O28" s="52" t="str">
        <f>IF(ISNUMBER(SEARCH("Identification of most important needs",'Data extraction-synthesis'!L27)),"X","")</f>
        <v/>
      </c>
      <c r="P28" s="52" t="str">
        <f>IF(ISNUMBER(SEARCH("Prioritization exercise",'Data extraction-synthesis'!L27)),"X","")</f>
        <v/>
      </c>
      <c r="Q28" s="52" t="str">
        <f>IF(ISNUMBER(SEARCH("Delphi-like approach to gauge stakeholders’ agreement with the TPP",'Data extraction-synthesis'!L27)),"X","")</f>
        <v/>
      </c>
      <c r="R28" s="52" t="str">
        <f>IF(ISNUMBER(SEARCH("Data analysis",'Data extraction-synthesis'!L27)),"X","")</f>
        <v/>
      </c>
      <c r="S28" s="52" t="str">
        <f>IF(ISNUMBER(SEARCH("Definition problem statement/use case  ",'Data extraction-synthesis'!L27)),"X","")</f>
        <v/>
      </c>
      <c r="T28" s="52" t="str">
        <f>IF(ISNUMBER(SEARCH("Identification of stakeholders to involve in draft TPP ",'Data extraction-synthesis'!L27)),"X","")</f>
        <v/>
      </c>
      <c r="U28" s="52" t="str">
        <f>IF(ISNUMBER(SEARCH("Definition TPP domains ",'Data extraction-synthesis'!L27)),"X","")</f>
        <v/>
      </c>
      <c r="V28" s="52" t="str">
        <f>IF(ISNUMBER(SEARCH("Survey to measure stakeholder’s preferences and agreement ",'Data extraction-synthesis'!L27)),"X","")</f>
        <v/>
      </c>
      <c r="W28" s="52" t="str">
        <f>IF(ISNUMBER(SEARCH("Reviewing available literature and data",'Data extraction-synthesis'!L27)),"X","")</f>
        <v/>
      </c>
      <c r="X28" s="52" t="str">
        <f>IF(ISNUMBER(SEARCH("Defining scope TPP ",'Data extraction-synthesis'!L27)),"X","")</f>
        <v/>
      </c>
      <c r="Y28" s="52" t="str">
        <f>IF(ISNUMBER(SEARCH("Interview with stakeholders",'Data extraction-synthesis'!L27)),"X","")</f>
        <v/>
      </c>
      <c r="Z28" s="52" t="str">
        <f>IF(ISNUMBER(SEARCH("Field research ",'Data extraction-synthesis'!L27)),"X","")</f>
        <v/>
      </c>
      <c r="AA28" s="52" t="str">
        <f>IF(ISNUMBER(SEARCH("Consolidation of findings",'Data extraction-synthesis'!L27)),"X","")</f>
        <v/>
      </c>
      <c r="AB28" s="52" t="str">
        <f>IF(ISNUMBER(SEARCH("N/A",'Data extraction-synthesis'!L27)),"X","")</f>
        <v>X</v>
      </c>
    </row>
    <row r="29" spans="1:28" ht="53.4">
      <c r="A29" s="56" t="s">
        <v>36</v>
      </c>
      <c r="B29" s="22" t="s">
        <v>72</v>
      </c>
      <c r="C29" s="52" t="str">
        <f>IF(ISNUMBER(SEARCH("Consensus/public meeting",'Data extraction-synthesis'!L28)),"X","")</f>
        <v/>
      </c>
      <c r="D29" s="52" t="str">
        <f>IF(ISNUMBER(SEARCH("Meeting with experts/stakeholders",'Data extraction-synthesis'!L28)),"X","")</f>
        <v/>
      </c>
      <c r="E29" s="52" t="str">
        <f>IF(ISNUMBER(SEARCH("Feedback from the consultation (e.g. survey, meeting, expert opinion) is incorporated into the final TPPs",'Data extraction-synthesis'!L28)),"X","")</f>
        <v/>
      </c>
      <c r="F29" s="52" t="str">
        <f>IF(ISNUMBER(SEARCH("Mapping",'Data extraction-synthesis'!L28)),"X","")</f>
        <v/>
      </c>
      <c r="G29" s="52" t="str">
        <f>IF(ISNUMBER(SEARCH("Market analyses",'Data extraction-synthesis'!L28)),"X","")</f>
        <v/>
      </c>
      <c r="H29" s="52" t="str">
        <f>IF(ISNUMBER(SEARCH("Literature search",'Data extraction-synthesis'!L28)),"X","")</f>
        <v/>
      </c>
      <c r="I29" s="52" t="str">
        <f>IF(ISNUMBER(SEARCH("Survey to retrieve input relevant for TPP",'Data extraction-synthesis'!L28)),"X","")</f>
        <v/>
      </c>
      <c r="J29" s="52" t="str">
        <f>IF(ISNUMBER(SEARCH("Landscaping exercise",'Data extraction-synthesis'!L28)),"X","")</f>
        <v/>
      </c>
      <c r="K29" s="52" t="str">
        <f>IF(ISNUMBER(SEARCH("Draft TPP",'Data extraction-synthesis'!L28)),"X","")</f>
        <v>X</v>
      </c>
      <c r="L29" s="52" t="str">
        <f>IF(ISNUMBER(SEARCH("Round of revisions of TPP",'Data extraction-synthesis'!L28)),"X","")</f>
        <v/>
      </c>
      <c r="M29" s="52" t="str">
        <f>IF(ISNUMBER(SEARCH("Draft shortened TPP",'Data extraction-synthesis'!L28)),"X","")</f>
        <v/>
      </c>
      <c r="N29" s="52" t="str">
        <f>IF(ISNUMBER(SEARCH("Presentation of shortened TPP to large stakeholder audience",'Data extraction-synthesis'!L28)),"X","")</f>
        <v/>
      </c>
      <c r="O29" s="52" t="str">
        <f>IF(ISNUMBER(SEARCH("Identification of most important needs",'Data extraction-synthesis'!L28)),"X","")</f>
        <v/>
      </c>
      <c r="P29" s="52" t="str">
        <f>IF(ISNUMBER(SEARCH("Prioritization exercise",'Data extraction-synthesis'!L28)),"X","")</f>
        <v/>
      </c>
      <c r="Q29" s="52" t="str">
        <f>IF(ISNUMBER(SEARCH("Delphi-like approach to gauge stakeholders’ agreement with the TPP",'Data extraction-synthesis'!L28)),"X","")</f>
        <v/>
      </c>
      <c r="R29" s="52" t="str">
        <f>IF(ISNUMBER(SEARCH("Data analysis",'Data extraction-synthesis'!L28)),"X","")</f>
        <v/>
      </c>
      <c r="S29" s="52" t="str">
        <f>IF(ISNUMBER(SEARCH("Definition problem statement/use case  ",'Data extraction-synthesis'!L28)),"X","")</f>
        <v>X</v>
      </c>
      <c r="T29" s="52" t="str">
        <f>IF(ISNUMBER(SEARCH("Identification of stakeholders to involve in draft TPP ",'Data extraction-synthesis'!L28)),"X","")</f>
        <v/>
      </c>
      <c r="U29" s="52" t="str">
        <f>IF(ISNUMBER(SEARCH("Definition TPP domains ",'Data extraction-synthesis'!L28)),"X","")</f>
        <v/>
      </c>
      <c r="V29" s="52" t="str">
        <f>IF(ISNUMBER(SEARCH("Survey to measure stakeholder’s preferences and agreement ",'Data extraction-synthesis'!L28)),"X","")</f>
        <v/>
      </c>
      <c r="W29" s="52" t="str">
        <f>IF(ISNUMBER(SEARCH("Reviewing available literature and data",'Data extraction-synthesis'!L28)),"X","")</f>
        <v/>
      </c>
      <c r="X29" s="52" t="str">
        <f>IF(ISNUMBER(SEARCH("Defining scope TPP ",'Data extraction-synthesis'!L28)),"X","")</f>
        <v/>
      </c>
      <c r="Y29" s="52" t="str">
        <f>IF(ISNUMBER(SEARCH("Interview with stakeholders",'Data extraction-synthesis'!L28)),"X","")</f>
        <v/>
      </c>
      <c r="Z29" s="52" t="str">
        <f>IF(ISNUMBER(SEARCH("Field research ",'Data extraction-synthesis'!L28)),"X","")</f>
        <v/>
      </c>
      <c r="AA29" s="52" t="str">
        <f>IF(ISNUMBER(SEARCH("Consolidation of findings",'Data extraction-synthesis'!L28)),"X","")</f>
        <v/>
      </c>
      <c r="AB29" s="52" t="str">
        <f>IF(ISNUMBER(SEARCH("N/A",'Data extraction-synthesis'!L28)),"X","")</f>
        <v/>
      </c>
    </row>
    <row r="30" spans="1:28" ht="79.8">
      <c r="A30" s="56" t="s">
        <v>36</v>
      </c>
      <c r="B30" s="22" t="s">
        <v>73</v>
      </c>
      <c r="C30" s="52" t="str">
        <f>IF(ISNUMBER(SEARCH("Consensus/public meeting",'Data extraction-synthesis'!L29)),"X","")</f>
        <v/>
      </c>
      <c r="D30" s="52" t="str">
        <f>IF(ISNUMBER(SEARCH("Meeting with experts/stakeholders",'Data extraction-synthesis'!L29)),"X","")</f>
        <v/>
      </c>
      <c r="E30" s="52" t="str">
        <f>IF(ISNUMBER(SEARCH("Feedback from the consultation (e.g. survey, meeting, expert opinion) is incorporated into the final TPPs",'Data extraction-synthesis'!L29)),"X","")</f>
        <v/>
      </c>
      <c r="F30" s="52" t="str">
        <f>IF(ISNUMBER(SEARCH("Mapping",'Data extraction-synthesis'!L29)),"X","")</f>
        <v/>
      </c>
      <c r="G30" s="52" t="str">
        <f>IF(ISNUMBER(SEARCH("Market analyses",'Data extraction-synthesis'!L29)),"X","")</f>
        <v/>
      </c>
      <c r="H30" s="52" t="str">
        <f>IF(ISNUMBER(SEARCH("Literature search",'Data extraction-synthesis'!L29)),"X","")</f>
        <v/>
      </c>
      <c r="I30" s="52" t="str">
        <f>IF(ISNUMBER(SEARCH("Survey to retrieve input relevant for TPP",'Data extraction-synthesis'!L29)),"X","")</f>
        <v/>
      </c>
      <c r="J30" s="52" t="str">
        <f>IF(ISNUMBER(SEARCH("Landscaping exercise",'Data extraction-synthesis'!L29)),"X","")</f>
        <v/>
      </c>
      <c r="K30" s="52" t="str">
        <f>IF(ISNUMBER(SEARCH("Draft TPP",'Data extraction-synthesis'!L29)),"X","")</f>
        <v>X</v>
      </c>
      <c r="L30" s="52" t="str">
        <f>IF(ISNUMBER(SEARCH("Round of revisions of TPP",'Data extraction-synthesis'!L29)),"X","")</f>
        <v/>
      </c>
      <c r="M30" s="52" t="str">
        <f>IF(ISNUMBER(SEARCH("Draft shortened TPP",'Data extraction-synthesis'!L29)),"X","")</f>
        <v/>
      </c>
      <c r="N30" s="52" t="str">
        <f>IF(ISNUMBER(SEARCH("Presentation of shortened TPP to large stakeholder audience",'Data extraction-synthesis'!L29)),"X","")</f>
        <v/>
      </c>
      <c r="O30" s="52" t="str">
        <f>IF(ISNUMBER(SEARCH("Identification of most important needs",'Data extraction-synthesis'!L29)),"X","")</f>
        <v/>
      </c>
      <c r="P30" s="52" t="str">
        <f>IF(ISNUMBER(SEARCH("Prioritization exercise",'Data extraction-synthesis'!L29)),"X","")</f>
        <v/>
      </c>
      <c r="Q30" s="52" t="str">
        <f>IF(ISNUMBER(SEARCH("Delphi-like approach to gauge stakeholders’ agreement with the TPP",'Data extraction-synthesis'!L29)),"X","")</f>
        <v/>
      </c>
      <c r="R30" s="52" t="str">
        <f>IF(ISNUMBER(SEARCH("Data analysis",'Data extraction-synthesis'!L29)),"X","")</f>
        <v/>
      </c>
      <c r="S30" s="52" t="str">
        <f>IF(ISNUMBER(SEARCH("Definition problem statement/use case  ",'Data extraction-synthesis'!L29)),"X","")</f>
        <v>X</v>
      </c>
      <c r="T30" s="52" t="str">
        <f>IF(ISNUMBER(SEARCH("Identification of stakeholders to involve in draft TPP ",'Data extraction-synthesis'!L29)),"X","")</f>
        <v/>
      </c>
      <c r="U30" s="52" t="str">
        <f>IF(ISNUMBER(SEARCH("Definition TPP domains ",'Data extraction-synthesis'!L29)),"X","")</f>
        <v/>
      </c>
      <c r="V30" s="52" t="str">
        <f>IF(ISNUMBER(SEARCH("Survey to measure stakeholder’s preferences and agreement ",'Data extraction-synthesis'!L29)),"X","")</f>
        <v/>
      </c>
      <c r="W30" s="52" t="str">
        <f>IF(ISNUMBER(SEARCH("Reviewing available literature and data",'Data extraction-synthesis'!L29)),"X","")</f>
        <v/>
      </c>
      <c r="X30" s="52" t="str">
        <f>IF(ISNUMBER(SEARCH("Defining scope TPP ",'Data extraction-synthesis'!L29)),"X","")</f>
        <v/>
      </c>
      <c r="Y30" s="52" t="str">
        <f>IF(ISNUMBER(SEARCH("Interview with stakeholders",'Data extraction-synthesis'!L29)),"X","")</f>
        <v/>
      </c>
      <c r="Z30" s="52" t="str">
        <f>IF(ISNUMBER(SEARCH("Field research ",'Data extraction-synthesis'!L29)),"X","")</f>
        <v/>
      </c>
      <c r="AA30" s="52" t="str">
        <f>IF(ISNUMBER(SEARCH("Consolidation of findings",'Data extraction-synthesis'!L29)),"X","")</f>
        <v/>
      </c>
      <c r="AB30" s="52" t="str">
        <f>IF(ISNUMBER(SEARCH("N/A",'Data extraction-synthesis'!L29)),"X","")</f>
        <v/>
      </c>
    </row>
    <row r="31" spans="1:28" ht="40.2">
      <c r="A31" s="56" t="s">
        <v>75</v>
      </c>
      <c r="B31" s="22" t="s">
        <v>76</v>
      </c>
      <c r="C31" s="52" t="str">
        <f>IF(ISNUMBER(SEARCH("Consensus/public meeting",'Data extraction-synthesis'!L30)),"X","")</f>
        <v/>
      </c>
      <c r="D31" s="52" t="str">
        <f>IF(ISNUMBER(SEARCH("Meeting with experts/stakeholders",'Data extraction-synthesis'!L30)),"X","")</f>
        <v/>
      </c>
      <c r="E31" s="52" t="str">
        <f>IF(ISNUMBER(SEARCH("Feedback from the consultation (e.g. survey, meeting, expert opinion) is incorporated into the final TPPs",'Data extraction-synthesis'!L30)),"X","")</f>
        <v/>
      </c>
      <c r="F31" s="52" t="str">
        <f>IF(ISNUMBER(SEARCH("Mapping",'Data extraction-synthesis'!L30)),"X","")</f>
        <v/>
      </c>
      <c r="G31" s="52" t="str">
        <f>IF(ISNUMBER(SEARCH("Market analyses",'Data extraction-synthesis'!L30)),"X","")</f>
        <v/>
      </c>
      <c r="H31" s="52" t="str">
        <f>IF(ISNUMBER(SEARCH("Literature search",'Data extraction-synthesis'!L30)),"X","")</f>
        <v/>
      </c>
      <c r="I31" s="52" t="str">
        <f>IF(ISNUMBER(SEARCH("Survey to retrieve input relevant for TPP",'Data extraction-synthesis'!L30)),"X","")</f>
        <v/>
      </c>
      <c r="J31" s="52" t="str">
        <f>IF(ISNUMBER(SEARCH("Landscaping exercise",'Data extraction-synthesis'!L30)),"X","")</f>
        <v/>
      </c>
      <c r="K31" s="52" t="str">
        <f>IF(ISNUMBER(SEARCH("Draft TPP",'Data extraction-synthesis'!L30)),"X","")</f>
        <v/>
      </c>
      <c r="L31" s="52" t="str">
        <f>IF(ISNUMBER(SEARCH("Round of revisions of TPP",'Data extraction-synthesis'!L30)),"X","")</f>
        <v/>
      </c>
      <c r="M31" s="52" t="str">
        <f>IF(ISNUMBER(SEARCH("Draft shortened TPP",'Data extraction-synthesis'!L30)),"X","")</f>
        <v/>
      </c>
      <c r="N31" s="52" t="str">
        <f>IF(ISNUMBER(SEARCH("Presentation of shortened TPP to large stakeholder audience",'Data extraction-synthesis'!L30)),"X","")</f>
        <v/>
      </c>
      <c r="O31" s="52" t="str">
        <f>IF(ISNUMBER(SEARCH("Identification of most important needs",'Data extraction-synthesis'!L30)),"X","")</f>
        <v/>
      </c>
      <c r="P31" s="52" t="str">
        <f>IF(ISNUMBER(SEARCH("Prioritization exercise",'Data extraction-synthesis'!L30)),"X","")</f>
        <v/>
      </c>
      <c r="Q31" s="52" t="str">
        <f>IF(ISNUMBER(SEARCH("Delphi-like approach to gauge stakeholders’ agreement with the TPP",'Data extraction-synthesis'!L30)),"X","")</f>
        <v/>
      </c>
      <c r="R31" s="52" t="str">
        <f>IF(ISNUMBER(SEARCH("Data analysis",'Data extraction-synthesis'!L30)),"X","")</f>
        <v/>
      </c>
      <c r="S31" s="52" t="str">
        <f>IF(ISNUMBER(SEARCH("Definition problem statement/use case  ",'Data extraction-synthesis'!L30)),"X","")</f>
        <v/>
      </c>
      <c r="T31" s="52" t="str">
        <f>IF(ISNUMBER(SEARCH("Identification of stakeholders to involve in draft TPP ",'Data extraction-synthesis'!L30)),"X","")</f>
        <v/>
      </c>
      <c r="U31" s="52" t="str">
        <f>IF(ISNUMBER(SEARCH("Definition TPP domains ",'Data extraction-synthesis'!L30)),"X","")</f>
        <v/>
      </c>
      <c r="V31" s="52" t="str">
        <f>IF(ISNUMBER(SEARCH("Survey to measure stakeholder’s preferences and agreement ",'Data extraction-synthesis'!L30)),"X","")</f>
        <v/>
      </c>
      <c r="W31" s="52" t="str">
        <f>IF(ISNUMBER(SEARCH("Reviewing available literature and data",'Data extraction-synthesis'!L30)),"X","")</f>
        <v/>
      </c>
      <c r="X31" s="52" t="str">
        <f>IF(ISNUMBER(SEARCH("Defining scope TPP ",'Data extraction-synthesis'!L30)),"X","")</f>
        <v/>
      </c>
      <c r="Y31" s="52" t="str">
        <f>IF(ISNUMBER(SEARCH("Interview with stakeholders",'Data extraction-synthesis'!L30)),"X","")</f>
        <v/>
      </c>
      <c r="Z31" s="52" t="str">
        <f>IF(ISNUMBER(SEARCH("Field research ",'Data extraction-synthesis'!L30)),"X","")</f>
        <v/>
      </c>
      <c r="AA31" s="52" t="str">
        <f>IF(ISNUMBER(SEARCH("Consolidation of findings",'Data extraction-synthesis'!L30)),"X","")</f>
        <v/>
      </c>
      <c r="AB31" s="52" t="str">
        <f>IF(ISNUMBER(SEARCH("N/A",'Data extraction-synthesis'!L30)),"X","")</f>
        <v>X</v>
      </c>
    </row>
    <row r="32" spans="1:28" ht="66.6">
      <c r="A32" s="56" t="s">
        <v>65</v>
      </c>
      <c r="B32" s="22" t="s">
        <v>77</v>
      </c>
      <c r="C32" s="52" t="str">
        <f>IF(ISNUMBER(SEARCH("Consensus/public meeting",'Data extraction-synthesis'!L31)),"X","")</f>
        <v/>
      </c>
      <c r="D32" s="52" t="str">
        <f>IF(ISNUMBER(SEARCH("Meeting with experts/stakeholders",'Data extraction-synthesis'!L31)),"X","")</f>
        <v/>
      </c>
      <c r="E32" s="52" t="str">
        <f>IF(ISNUMBER(SEARCH("Feedback from the consultation (e.g. survey, meeting, expert opinion) is incorporated into the final TPPs",'Data extraction-synthesis'!L31)),"X","")</f>
        <v>X</v>
      </c>
      <c r="F32" s="52" t="str">
        <f>IF(ISNUMBER(SEARCH("Mapping",'Data extraction-synthesis'!L31)),"X","")</f>
        <v/>
      </c>
      <c r="G32" s="52" t="str">
        <f>IF(ISNUMBER(SEARCH("Market analyses",'Data extraction-synthesis'!L31)),"X","")</f>
        <v/>
      </c>
      <c r="H32" s="52" t="str">
        <f>IF(ISNUMBER(SEARCH("Literature search",'Data extraction-synthesis'!L31)),"X","")</f>
        <v/>
      </c>
      <c r="I32" s="52" t="str">
        <f>IF(ISNUMBER(SEARCH("Survey to retrieve input relevant for TPP",'Data extraction-synthesis'!L31)),"X","")</f>
        <v/>
      </c>
      <c r="J32" s="52" t="str">
        <f>IF(ISNUMBER(SEARCH("Landscaping exercise",'Data extraction-synthesis'!L31)),"X","")</f>
        <v/>
      </c>
      <c r="K32" s="52" t="str">
        <f>IF(ISNUMBER(SEARCH("Draft TPP",'Data extraction-synthesis'!L31)),"X","")</f>
        <v>X</v>
      </c>
      <c r="L32" s="52" t="str">
        <f>IF(ISNUMBER(SEARCH("Round of revisions of TPP",'Data extraction-synthesis'!L31)),"X","")</f>
        <v>X</v>
      </c>
      <c r="M32" s="52" t="str">
        <f>IF(ISNUMBER(SEARCH("Draft shortened TPP",'Data extraction-synthesis'!L31)),"X","")</f>
        <v/>
      </c>
      <c r="N32" s="52" t="str">
        <f>IF(ISNUMBER(SEARCH("Presentation of shortened TPP to large stakeholder audience",'Data extraction-synthesis'!L31)),"X","")</f>
        <v/>
      </c>
      <c r="O32" s="52" t="str">
        <f>IF(ISNUMBER(SEARCH("Identification of most important needs",'Data extraction-synthesis'!L31)),"X","")</f>
        <v/>
      </c>
      <c r="P32" s="52" t="str">
        <f>IF(ISNUMBER(SEARCH("Prioritization exercise",'Data extraction-synthesis'!L31)),"X","")</f>
        <v/>
      </c>
      <c r="Q32" s="52" t="str">
        <f>IF(ISNUMBER(SEARCH("Delphi-like approach to gauge stakeholders’ agreement with the TPP",'Data extraction-synthesis'!L31)),"X","")</f>
        <v/>
      </c>
      <c r="R32" s="52" t="str">
        <f>IF(ISNUMBER(SEARCH("Data analysis",'Data extraction-synthesis'!L31)),"X","")</f>
        <v/>
      </c>
      <c r="S32" s="52" t="str">
        <f>IF(ISNUMBER(SEARCH("Definition problem statement/use case  ",'Data extraction-synthesis'!L31)),"X","")</f>
        <v/>
      </c>
      <c r="T32" s="52" t="str">
        <f>IF(ISNUMBER(SEARCH("Identification of stakeholders to involve in draft TPP ",'Data extraction-synthesis'!L31)),"X","")</f>
        <v/>
      </c>
      <c r="U32" s="52" t="str">
        <f>IF(ISNUMBER(SEARCH("Definition TPP domains ",'Data extraction-synthesis'!L31)),"X","")</f>
        <v/>
      </c>
      <c r="V32" s="52" t="str">
        <f>IF(ISNUMBER(SEARCH("Survey to measure stakeholder’s preferences and agreement ",'Data extraction-synthesis'!L31)),"X","")</f>
        <v/>
      </c>
      <c r="W32" s="52" t="str">
        <f>IF(ISNUMBER(SEARCH("Reviewing available literature and data",'Data extraction-synthesis'!L31)),"X","")</f>
        <v/>
      </c>
      <c r="X32" s="52" t="str">
        <f>IF(ISNUMBER(SEARCH("Defining scope TPP ",'Data extraction-synthesis'!L31)),"X","")</f>
        <v>X</v>
      </c>
      <c r="Y32" s="52" t="str">
        <f>IF(ISNUMBER(SEARCH("Interview with stakeholders",'Data extraction-synthesis'!L31)),"X","")</f>
        <v/>
      </c>
      <c r="Z32" s="52" t="str">
        <f>IF(ISNUMBER(SEARCH("Field research ",'Data extraction-synthesis'!L31)),"X","")</f>
        <v/>
      </c>
      <c r="AA32" s="52" t="str">
        <f>IF(ISNUMBER(SEARCH("Consolidation of findings",'Data extraction-synthesis'!L31)),"X","")</f>
        <v/>
      </c>
      <c r="AB32" s="52" t="str">
        <f>IF(ISNUMBER(SEARCH("N/A",'Data extraction-synthesis'!L31)),"X","")</f>
        <v/>
      </c>
    </row>
    <row r="33" spans="1:28" ht="93">
      <c r="A33" s="56" t="s">
        <v>65</v>
      </c>
      <c r="B33" s="22" t="s">
        <v>78</v>
      </c>
      <c r="C33" s="52" t="str">
        <f>IF(ISNUMBER(SEARCH("Consensus/public meeting",'Data extraction-synthesis'!L32)),"X","")</f>
        <v/>
      </c>
      <c r="D33" s="52" t="str">
        <f>IF(ISNUMBER(SEARCH("Meeting with experts/stakeholders",'Data extraction-synthesis'!L32)),"X","")</f>
        <v/>
      </c>
      <c r="E33" s="52" t="str">
        <f>IF(ISNUMBER(SEARCH("Feedback from the consultation (e.g. survey, meeting, expert opinion) is incorporated into the final TPPs",'Data extraction-synthesis'!L32)),"X","")</f>
        <v/>
      </c>
      <c r="F33" s="52" t="str">
        <f>IF(ISNUMBER(SEARCH("Mapping",'Data extraction-synthesis'!L32)),"X","")</f>
        <v/>
      </c>
      <c r="G33" s="52" t="str">
        <f>IF(ISNUMBER(SEARCH("Market analyses",'Data extraction-synthesis'!L32)),"X","")</f>
        <v/>
      </c>
      <c r="H33" s="52" t="str">
        <f>IF(ISNUMBER(SEARCH("Literature search",'Data extraction-synthesis'!L32)),"X","")</f>
        <v/>
      </c>
      <c r="I33" s="52" t="str">
        <f>IF(ISNUMBER(SEARCH("Survey to retrieve input relevant for TPP",'Data extraction-synthesis'!L32)),"X","")</f>
        <v/>
      </c>
      <c r="J33" s="52" t="str">
        <f>IF(ISNUMBER(SEARCH("Landscaping exercise",'Data extraction-synthesis'!L32)),"X","")</f>
        <v/>
      </c>
      <c r="K33" s="52" t="str">
        <f>IF(ISNUMBER(SEARCH("Draft TPP",'Data extraction-synthesis'!L32)),"X","")</f>
        <v>X</v>
      </c>
      <c r="L33" s="52" t="str">
        <f>IF(ISNUMBER(SEARCH("Round of revisions of TPP",'Data extraction-synthesis'!L32)),"X","")</f>
        <v>X</v>
      </c>
      <c r="M33" s="52" t="str">
        <f>IF(ISNUMBER(SEARCH("Draft shortened TPP",'Data extraction-synthesis'!L32)),"X","")</f>
        <v/>
      </c>
      <c r="N33" s="52" t="str">
        <f>IF(ISNUMBER(SEARCH("Presentation of shortened TPP to large stakeholder audience",'Data extraction-synthesis'!L32)),"X","")</f>
        <v/>
      </c>
      <c r="O33" s="52" t="str">
        <f>IF(ISNUMBER(SEARCH("Identification of most important needs",'Data extraction-synthesis'!L32)),"X","")</f>
        <v/>
      </c>
      <c r="P33" s="52" t="str">
        <f>IF(ISNUMBER(SEARCH("Prioritization exercise",'Data extraction-synthesis'!L32)),"X","")</f>
        <v/>
      </c>
      <c r="Q33" s="52" t="str">
        <f>IF(ISNUMBER(SEARCH("Delphi-like approach to gauge stakeholders’ agreement with the TPP",'Data extraction-synthesis'!L32)),"X","")</f>
        <v/>
      </c>
      <c r="R33" s="52" t="str">
        <f>IF(ISNUMBER(SEARCH("Data analysis",'Data extraction-synthesis'!L32)),"X","")</f>
        <v/>
      </c>
      <c r="S33" s="52" t="str">
        <f>IF(ISNUMBER(SEARCH("Definition problem statement/use case  ",'Data extraction-synthesis'!L32)),"X","")</f>
        <v/>
      </c>
      <c r="T33" s="52" t="str">
        <f>IF(ISNUMBER(SEARCH("Identification of stakeholders to involve in draft TPP ",'Data extraction-synthesis'!L32)),"X","")</f>
        <v/>
      </c>
      <c r="U33" s="52" t="str">
        <f>IF(ISNUMBER(SEARCH("Definition TPP domains ",'Data extraction-synthesis'!L32)),"X","")</f>
        <v/>
      </c>
      <c r="V33" s="52" t="str">
        <f>IF(ISNUMBER(SEARCH("Survey to measure stakeholder’s preferences and agreement ",'Data extraction-synthesis'!L32)),"X","")</f>
        <v>X</v>
      </c>
      <c r="W33" s="52" t="str">
        <f>IF(ISNUMBER(SEARCH("Reviewing available literature and data",'Data extraction-synthesis'!L32)),"X","")</f>
        <v>X</v>
      </c>
      <c r="X33" s="52" t="str">
        <f>IF(ISNUMBER(SEARCH("Defining scope TPP ",'Data extraction-synthesis'!L32)),"X","")</f>
        <v>X</v>
      </c>
      <c r="Y33" s="52" t="str">
        <f>IF(ISNUMBER(SEARCH("Interview with stakeholders",'Data extraction-synthesis'!L32)),"X","")</f>
        <v/>
      </c>
      <c r="Z33" s="52" t="str">
        <f>IF(ISNUMBER(SEARCH("Field research ",'Data extraction-synthesis'!L32)),"X","")</f>
        <v/>
      </c>
      <c r="AA33" s="52" t="str">
        <f>IF(ISNUMBER(SEARCH("Consolidation of findings",'Data extraction-synthesis'!L32)),"X","")</f>
        <v/>
      </c>
      <c r="AB33" s="52" t="str">
        <f>IF(ISNUMBER(SEARCH("N/A",'Data extraction-synthesis'!L32)),"X","")</f>
        <v/>
      </c>
    </row>
    <row r="34" spans="1:28" ht="66.6">
      <c r="A34" s="56" t="s">
        <v>80</v>
      </c>
      <c r="B34" s="22" t="s">
        <v>81</v>
      </c>
      <c r="C34" s="52" t="str">
        <f>IF(ISNUMBER(SEARCH("Consensus/public meeting",'Data extraction-synthesis'!L33)),"X","")</f>
        <v/>
      </c>
      <c r="D34" s="52" t="str">
        <f>IF(ISNUMBER(SEARCH("Meeting with experts/stakeholders",'Data extraction-synthesis'!L33)),"X","")</f>
        <v/>
      </c>
      <c r="E34" s="52" t="str">
        <f>IF(ISNUMBER(SEARCH("Feedback from the consultation (e.g. survey, meeting, expert opinion) is incorporated into the final TPPs",'Data extraction-synthesis'!L33)),"X","")</f>
        <v/>
      </c>
      <c r="F34" s="52" t="str">
        <f>IF(ISNUMBER(SEARCH("Mapping",'Data extraction-synthesis'!L33)),"X","")</f>
        <v/>
      </c>
      <c r="G34" s="52" t="str">
        <f>IF(ISNUMBER(SEARCH("Market analyses",'Data extraction-synthesis'!L33)),"X","")</f>
        <v/>
      </c>
      <c r="H34" s="52" t="str">
        <f>IF(ISNUMBER(SEARCH("Literature search",'Data extraction-synthesis'!L33)),"X","")</f>
        <v/>
      </c>
      <c r="I34" s="52" t="str">
        <f>IF(ISNUMBER(SEARCH("Survey to retrieve input relevant for TPP",'Data extraction-synthesis'!L33)),"X","")</f>
        <v/>
      </c>
      <c r="J34" s="52" t="str">
        <f>IF(ISNUMBER(SEARCH("Landscaping exercise",'Data extraction-synthesis'!L33)),"X","")</f>
        <v/>
      </c>
      <c r="K34" s="52" t="str">
        <f>IF(ISNUMBER(SEARCH("Draft TPP",'Data extraction-synthesis'!L33)),"X","")</f>
        <v>X</v>
      </c>
      <c r="L34" s="52" t="str">
        <f>IF(ISNUMBER(SEARCH("Round of revisions of TPP",'Data extraction-synthesis'!L33)),"X","")</f>
        <v/>
      </c>
      <c r="M34" s="52" t="str">
        <f>IF(ISNUMBER(SEARCH("Draft shortened TPP",'Data extraction-synthesis'!L33)),"X","")</f>
        <v/>
      </c>
      <c r="N34" s="52" t="str">
        <f>IF(ISNUMBER(SEARCH("Presentation of shortened TPP to large stakeholder audience",'Data extraction-synthesis'!L33)),"X","")</f>
        <v/>
      </c>
      <c r="O34" s="52" t="str">
        <f>IF(ISNUMBER(SEARCH("Identification of most important needs",'Data extraction-synthesis'!L33)),"X","")</f>
        <v>X</v>
      </c>
      <c r="P34" s="52" t="str">
        <f>IF(ISNUMBER(SEARCH("Prioritization exercise",'Data extraction-synthesis'!L33)),"X","")</f>
        <v/>
      </c>
      <c r="Q34" s="52" t="str">
        <f>IF(ISNUMBER(SEARCH("Delphi-like approach to gauge stakeholders’ agreement with the TPP",'Data extraction-synthesis'!L33)),"X","")</f>
        <v/>
      </c>
      <c r="R34" s="52" t="str">
        <f>IF(ISNUMBER(SEARCH("Data analysis",'Data extraction-synthesis'!L33)),"X","")</f>
        <v/>
      </c>
      <c r="S34" s="52" t="str">
        <f>IF(ISNUMBER(SEARCH("Definition problem statement/use case  ",'Data extraction-synthesis'!L33)),"X","")</f>
        <v/>
      </c>
      <c r="T34" s="52" t="str">
        <f>IF(ISNUMBER(SEARCH("Identification of stakeholders to involve in draft TPP ",'Data extraction-synthesis'!L33)),"X","")</f>
        <v/>
      </c>
      <c r="U34" s="52" t="str">
        <f>IF(ISNUMBER(SEARCH("Definition TPP domains ",'Data extraction-synthesis'!L33)),"X","")</f>
        <v/>
      </c>
      <c r="V34" s="52" t="str">
        <f>IF(ISNUMBER(SEARCH("Survey to measure stakeholder’s preferences and agreement ",'Data extraction-synthesis'!L33)),"X","")</f>
        <v/>
      </c>
      <c r="W34" s="52" t="str">
        <f>IF(ISNUMBER(SEARCH("Reviewing available literature and data",'Data extraction-synthesis'!L33)),"X","")</f>
        <v/>
      </c>
      <c r="X34" s="52" t="str">
        <f>IF(ISNUMBER(SEARCH("Defining scope TPP ",'Data extraction-synthesis'!L33)),"X","")</f>
        <v/>
      </c>
      <c r="Y34" s="52" t="str">
        <f>IF(ISNUMBER(SEARCH("Interview with stakeholders",'Data extraction-synthesis'!L33)),"X","")</f>
        <v/>
      </c>
      <c r="Z34" s="52" t="str">
        <f>IF(ISNUMBER(SEARCH("Field research ",'Data extraction-synthesis'!L33)),"X","")</f>
        <v/>
      </c>
      <c r="AA34" s="52" t="str">
        <f>IF(ISNUMBER(SEARCH("Consolidation of findings",'Data extraction-synthesis'!L33)),"X","")</f>
        <v/>
      </c>
      <c r="AB34" s="52" t="str">
        <f>IF(ISNUMBER(SEARCH("N/A",'Data extraction-synthesis'!L33)),"X","")</f>
        <v/>
      </c>
    </row>
    <row r="35" spans="1:28" ht="93">
      <c r="A35" s="56" t="s">
        <v>61</v>
      </c>
      <c r="B35" s="22" t="s">
        <v>84</v>
      </c>
      <c r="C35" s="52" t="str">
        <f>IF(ISNUMBER(SEARCH("Consensus/public meeting",'Data extraction-synthesis'!L34)),"X","")</f>
        <v/>
      </c>
      <c r="D35" s="52" t="str">
        <f>IF(ISNUMBER(SEARCH("Meeting with experts/stakeholders",'Data extraction-synthesis'!L34)),"X","")</f>
        <v/>
      </c>
      <c r="E35" s="52" t="str">
        <f>IF(ISNUMBER(SEARCH("Feedback from the consultation (e.g. survey, meeting, expert opinion) is incorporated into the final TPPs",'Data extraction-synthesis'!L34)),"X","")</f>
        <v/>
      </c>
      <c r="F35" s="52" t="str">
        <f>IF(ISNUMBER(SEARCH("Mapping",'Data extraction-synthesis'!L34)),"X","")</f>
        <v/>
      </c>
      <c r="G35" s="52" t="str">
        <f>IF(ISNUMBER(SEARCH("Market analyses",'Data extraction-synthesis'!L34)),"X","")</f>
        <v/>
      </c>
      <c r="H35" s="52" t="str">
        <f>IF(ISNUMBER(SEARCH("Literature search",'Data extraction-synthesis'!L34)),"X","")</f>
        <v/>
      </c>
      <c r="I35" s="52" t="str">
        <f>IF(ISNUMBER(SEARCH("Survey to retrieve input relevant for TPP",'Data extraction-synthesis'!L34)),"X","")</f>
        <v/>
      </c>
      <c r="J35" s="52" t="str">
        <f>IF(ISNUMBER(SEARCH("Landscaping exercise",'Data extraction-synthesis'!L34)),"X","")</f>
        <v/>
      </c>
      <c r="K35" s="52" t="str">
        <f>IF(ISNUMBER(SEARCH("Draft TPP",'Data extraction-synthesis'!L34)),"X","")</f>
        <v/>
      </c>
      <c r="L35" s="52" t="str">
        <f>IF(ISNUMBER(SEARCH("Round of revisions of TPP",'Data extraction-synthesis'!L34)),"X","")</f>
        <v/>
      </c>
      <c r="M35" s="52" t="str">
        <f>IF(ISNUMBER(SEARCH("Draft shortened TPP",'Data extraction-synthesis'!L34)),"X","")</f>
        <v/>
      </c>
      <c r="N35" s="52" t="str">
        <f>IF(ISNUMBER(SEARCH("Presentation of shortened TPP to large stakeholder audience",'Data extraction-synthesis'!L34)),"X","")</f>
        <v/>
      </c>
      <c r="O35" s="52" t="str">
        <f>IF(ISNUMBER(SEARCH("Identification of most important needs",'Data extraction-synthesis'!L34)),"X","")</f>
        <v/>
      </c>
      <c r="P35" s="52" t="str">
        <f>IF(ISNUMBER(SEARCH("Prioritization exercise",'Data extraction-synthesis'!L34)),"X","")</f>
        <v/>
      </c>
      <c r="Q35" s="52" t="str">
        <f>IF(ISNUMBER(SEARCH("Delphi-like approach to gauge stakeholders’ agreement with the TPP",'Data extraction-synthesis'!L34)),"X","")</f>
        <v/>
      </c>
      <c r="R35" s="52" t="str">
        <f>IF(ISNUMBER(SEARCH("Data analysis",'Data extraction-synthesis'!L34)),"X","")</f>
        <v/>
      </c>
      <c r="S35" s="52" t="str">
        <f>IF(ISNUMBER(SEARCH("Definition problem statement/use case  ",'Data extraction-synthesis'!L34)),"X","")</f>
        <v/>
      </c>
      <c r="T35" s="52" t="str">
        <f>IF(ISNUMBER(SEARCH("Identification of stakeholders to involve in draft TPP ",'Data extraction-synthesis'!L34)),"X","")</f>
        <v/>
      </c>
      <c r="U35" s="52" t="str">
        <f>IF(ISNUMBER(SEARCH("Definition TPP domains ",'Data extraction-synthesis'!L34)),"X","")</f>
        <v/>
      </c>
      <c r="V35" s="52" t="str">
        <f>IF(ISNUMBER(SEARCH("Survey to measure stakeholder’s preferences and agreement ",'Data extraction-synthesis'!L34)),"X","")</f>
        <v/>
      </c>
      <c r="W35" s="52" t="str">
        <f>IF(ISNUMBER(SEARCH("Reviewing available literature and data",'Data extraction-synthesis'!L34)),"X","")</f>
        <v/>
      </c>
      <c r="X35" s="52" t="str">
        <f>IF(ISNUMBER(SEARCH("Defining scope TPP ",'Data extraction-synthesis'!L34)),"X","")</f>
        <v/>
      </c>
      <c r="Y35" s="52" t="str">
        <f>IF(ISNUMBER(SEARCH("Interview with stakeholders",'Data extraction-synthesis'!L34)),"X","")</f>
        <v/>
      </c>
      <c r="Z35" s="52" t="str">
        <f>IF(ISNUMBER(SEARCH("Field research ",'Data extraction-synthesis'!L34)),"X","")</f>
        <v/>
      </c>
      <c r="AA35" s="52" t="str">
        <f>IF(ISNUMBER(SEARCH("Consolidation of findings",'Data extraction-synthesis'!L34)),"X","")</f>
        <v/>
      </c>
      <c r="AB35" s="52" t="str">
        <f>IF(ISNUMBER(SEARCH("N/A",'Data extraction-synthesis'!L34)),"X","")</f>
        <v>X</v>
      </c>
    </row>
    <row r="36" spans="1:28" ht="106.2">
      <c r="A36" s="56" t="s">
        <v>61</v>
      </c>
      <c r="B36" s="22" t="s">
        <v>85</v>
      </c>
      <c r="C36" s="52" t="str">
        <f>IF(ISNUMBER(SEARCH("Consensus/public meeting",'Data extraction-synthesis'!L35)),"X","")</f>
        <v/>
      </c>
      <c r="D36" s="52" t="str">
        <f>IF(ISNUMBER(SEARCH("Meeting with experts/stakeholders",'Data extraction-synthesis'!L35)),"X","")</f>
        <v/>
      </c>
      <c r="E36" s="52" t="str">
        <f>IF(ISNUMBER(SEARCH("Feedback from the consultation (e.g. survey, meeting, expert opinion) is incorporated into the final TPPs",'Data extraction-synthesis'!L35)),"X","")</f>
        <v/>
      </c>
      <c r="F36" s="52" t="str">
        <f>IF(ISNUMBER(SEARCH("Mapping",'Data extraction-synthesis'!L35)),"X","")</f>
        <v/>
      </c>
      <c r="G36" s="52" t="str">
        <f>IF(ISNUMBER(SEARCH("Market analyses",'Data extraction-synthesis'!L35)),"X","")</f>
        <v/>
      </c>
      <c r="H36" s="52" t="str">
        <f>IF(ISNUMBER(SEARCH("Literature search",'Data extraction-synthesis'!L35)),"X","")</f>
        <v/>
      </c>
      <c r="I36" s="52" t="str">
        <f>IF(ISNUMBER(SEARCH("Survey to retrieve input relevant for TPP",'Data extraction-synthesis'!L35)),"X","")</f>
        <v/>
      </c>
      <c r="J36" s="52" t="str">
        <f>IF(ISNUMBER(SEARCH("Landscaping exercise",'Data extraction-synthesis'!L35)),"X","")</f>
        <v/>
      </c>
      <c r="K36" s="52" t="str">
        <f>IF(ISNUMBER(SEARCH("Draft TPP",'Data extraction-synthesis'!L35)),"X","")</f>
        <v/>
      </c>
      <c r="L36" s="52" t="str">
        <f>IF(ISNUMBER(SEARCH("Round of revisions of TPP",'Data extraction-synthesis'!L35)),"X","")</f>
        <v/>
      </c>
      <c r="M36" s="52" t="str">
        <f>IF(ISNUMBER(SEARCH("Draft shortened TPP",'Data extraction-synthesis'!L35)),"X","")</f>
        <v/>
      </c>
      <c r="N36" s="52" t="str">
        <f>IF(ISNUMBER(SEARCH("Presentation of shortened TPP to large stakeholder audience",'Data extraction-synthesis'!L35)),"X","")</f>
        <v/>
      </c>
      <c r="O36" s="52" t="str">
        <f>IF(ISNUMBER(SEARCH("Identification of most important needs",'Data extraction-synthesis'!L35)),"X","")</f>
        <v/>
      </c>
      <c r="P36" s="52" t="str">
        <f>IF(ISNUMBER(SEARCH("Prioritization exercise",'Data extraction-synthesis'!L35)),"X","")</f>
        <v/>
      </c>
      <c r="Q36" s="52" t="str">
        <f>IF(ISNUMBER(SEARCH("Delphi-like approach to gauge stakeholders’ agreement with the TPP",'Data extraction-synthesis'!L35)),"X","")</f>
        <v/>
      </c>
      <c r="R36" s="52" t="str">
        <f>IF(ISNUMBER(SEARCH("Data analysis",'Data extraction-synthesis'!L35)),"X","")</f>
        <v/>
      </c>
      <c r="S36" s="52" t="str">
        <f>IF(ISNUMBER(SEARCH("Definition problem statement/use case  ",'Data extraction-synthesis'!L35)),"X","")</f>
        <v/>
      </c>
      <c r="T36" s="52" t="str">
        <f>IF(ISNUMBER(SEARCH("Identification of stakeholders to involve in draft TPP ",'Data extraction-synthesis'!L35)),"X","")</f>
        <v/>
      </c>
      <c r="U36" s="52" t="str">
        <f>IF(ISNUMBER(SEARCH("Definition TPP domains ",'Data extraction-synthesis'!L35)),"X","")</f>
        <v/>
      </c>
      <c r="V36" s="52" t="str">
        <f>IF(ISNUMBER(SEARCH("Survey to measure stakeholder’s preferences and agreement ",'Data extraction-synthesis'!L35)),"X","")</f>
        <v/>
      </c>
      <c r="W36" s="52" t="str">
        <f>IF(ISNUMBER(SEARCH("Reviewing available literature and data",'Data extraction-synthesis'!L35)),"X","")</f>
        <v/>
      </c>
      <c r="X36" s="52" t="str">
        <f>IF(ISNUMBER(SEARCH("Defining scope TPP ",'Data extraction-synthesis'!L35)),"X","")</f>
        <v/>
      </c>
      <c r="Y36" s="52" t="str">
        <f>IF(ISNUMBER(SEARCH("Interview with stakeholders",'Data extraction-synthesis'!L35)),"X","")</f>
        <v/>
      </c>
      <c r="Z36" s="52" t="str">
        <f>IF(ISNUMBER(SEARCH("Field research ",'Data extraction-synthesis'!L35)),"X","")</f>
        <v/>
      </c>
      <c r="AA36" s="52" t="str">
        <f>IF(ISNUMBER(SEARCH("Consolidation of findings",'Data extraction-synthesis'!L35)),"X","")</f>
        <v/>
      </c>
      <c r="AB36" s="52" t="str">
        <f>IF(ISNUMBER(SEARCH("N/A",'Data extraction-synthesis'!L35)),"X","")</f>
        <v>X</v>
      </c>
    </row>
    <row r="37" spans="1:28" ht="53.4">
      <c r="A37" s="56" t="s">
        <v>86</v>
      </c>
      <c r="B37" s="22" t="s">
        <v>87</v>
      </c>
      <c r="C37" s="52" t="str">
        <f>IF(ISNUMBER(SEARCH("Consensus/public meeting",'Data extraction-synthesis'!L36)),"X","")</f>
        <v/>
      </c>
      <c r="D37" s="52" t="str">
        <f>IF(ISNUMBER(SEARCH("Meeting with experts/stakeholders",'Data extraction-synthesis'!L36)),"X","")</f>
        <v/>
      </c>
      <c r="E37" s="52" t="str">
        <f>IF(ISNUMBER(SEARCH("Feedback from the consultation (e.g. survey, meeting, expert opinion) is incorporated into the final TPPs",'Data extraction-synthesis'!L36)),"X","")</f>
        <v/>
      </c>
      <c r="F37" s="52" t="str">
        <f>IF(ISNUMBER(SEARCH("Mapping",'Data extraction-synthesis'!L36)),"X","")</f>
        <v/>
      </c>
      <c r="G37" s="52" t="str">
        <f>IF(ISNUMBER(SEARCH("Market analyses",'Data extraction-synthesis'!L36)),"X","")</f>
        <v/>
      </c>
      <c r="H37" s="52" t="str">
        <f>IF(ISNUMBER(SEARCH("Literature search",'Data extraction-synthesis'!L36)),"X","")</f>
        <v/>
      </c>
      <c r="I37" s="52" t="str">
        <f>IF(ISNUMBER(SEARCH("Survey to retrieve input relevant for TPP",'Data extraction-synthesis'!L36)),"X","")</f>
        <v/>
      </c>
      <c r="J37" s="52" t="str">
        <f>IF(ISNUMBER(SEARCH("Landscaping exercise",'Data extraction-synthesis'!L36)),"X","")</f>
        <v/>
      </c>
      <c r="K37" s="52" t="str">
        <f>IF(ISNUMBER(SEARCH("Draft TPP",'Data extraction-synthesis'!L36)),"X","")</f>
        <v/>
      </c>
      <c r="L37" s="52" t="str">
        <f>IF(ISNUMBER(SEARCH("Round of revisions of TPP",'Data extraction-synthesis'!L36)),"X","")</f>
        <v/>
      </c>
      <c r="M37" s="52" t="str">
        <f>IF(ISNUMBER(SEARCH("Draft shortened TPP",'Data extraction-synthesis'!L36)),"X","")</f>
        <v/>
      </c>
      <c r="N37" s="52" t="str">
        <f>IF(ISNUMBER(SEARCH("Presentation of shortened TPP to large stakeholder audience",'Data extraction-synthesis'!L36)),"X","")</f>
        <v/>
      </c>
      <c r="O37" s="52" t="str">
        <f>IF(ISNUMBER(SEARCH("Identification of most important needs",'Data extraction-synthesis'!L36)),"X","")</f>
        <v/>
      </c>
      <c r="P37" s="52" t="str">
        <f>IF(ISNUMBER(SEARCH("Prioritization exercise",'Data extraction-synthesis'!L36)),"X","")</f>
        <v/>
      </c>
      <c r="Q37" s="52" t="str">
        <f>IF(ISNUMBER(SEARCH("Delphi-like approach to gauge stakeholders’ agreement with the TPP",'Data extraction-synthesis'!L36)),"X","")</f>
        <v/>
      </c>
      <c r="R37" s="52" t="str">
        <f>IF(ISNUMBER(SEARCH("Data analysis",'Data extraction-synthesis'!L36)),"X","")</f>
        <v/>
      </c>
      <c r="S37" s="52" t="str">
        <f>IF(ISNUMBER(SEARCH("Definition problem statement/use case  ",'Data extraction-synthesis'!L36)),"X","")</f>
        <v/>
      </c>
      <c r="T37" s="52" t="str">
        <f>IF(ISNUMBER(SEARCH("Identification of stakeholders to involve in draft TPP ",'Data extraction-synthesis'!L36)),"X","")</f>
        <v/>
      </c>
      <c r="U37" s="52" t="str">
        <f>IF(ISNUMBER(SEARCH("Definition TPP domains ",'Data extraction-synthesis'!L36)),"X","")</f>
        <v/>
      </c>
      <c r="V37" s="52" t="str">
        <f>IF(ISNUMBER(SEARCH("Survey to measure stakeholder’s preferences and agreement ",'Data extraction-synthesis'!L36)),"X","")</f>
        <v/>
      </c>
      <c r="W37" s="52" t="str">
        <f>IF(ISNUMBER(SEARCH("Reviewing available literature and data",'Data extraction-synthesis'!L36)),"X","")</f>
        <v/>
      </c>
      <c r="X37" s="52" t="str">
        <f>IF(ISNUMBER(SEARCH("Defining scope TPP ",'Data extraction-synthesis'!L36)),"X","")</f>
        <v/>
      </c>
      <c r="Y37" s="52" t="str">
        <f>IF(ISNUMBER(SEARCH("Interview with stakeholders",'Data extraction-synthesis'!L36)),"X","")</f>
        <v/>
      </c>
      <c r="Z37" s="52" t="str">
        <f>IF(ISNUMBER(SEARCH("Field research ",'Data extraction-synthesis'!L36)),"X","")</f>
        <v/>
      </c>
      <c r="AA37" s="52" t="str">
        <f>IF(ISNUMBER(SEARCH("Consolidation of findings",'Data extraction-synthesis'!L36)),"X","")</f>
        <v/>
      </c>
      <c r="AB37" s="52" t="str">
        <f>IF(ISNUMBER(SEARCH("N/A",'Data extraction-synthesis'!L36)),"X","")</f>
        <v>X</v>
      </c>
    </row>
    <row r="38" spans="1:28" ht="53.4">
      <c r="A38" s="56" t="s">
        <v>86</v>
      </c>
      <c r="B38" s="22" t="s">
        <v>90</v>
      </c>
      <c r="C38" s="52" t="str">
        <f>IF(ISNUMBER(SEARCH("Consensus/public meeting",'Data extraction-synthesis'!L37)),"X","")</f>
        <v/>
      </c>
      <c r="D38" s="52" t="str">
        <f>IF(ISNUMBER(SEARCH("Meeting with experts/stakeholders",'Data extraction-synthesis'!L37)),"X","")</f>
        <v/>
      </c>
      <c r="E38" s="52" t="str">
        <f>IF(ISNUMBER(SEARCH("Feedback from the consultation (e.g. survey, meeting, expert opinion) is incorporated into the final TPPs",'Data extraction-synthesis'!L37)),"X","")</f>
        <v/>
      </c>
      <c r="F38" s="52" t="str">
        <f>IF(ISNUMBER(SEARCH("Mapping",'Data extraction-synthesis'!L37)),"X","")</f>
        <v/>
      </c>
      <c r="G38" s="52" t="str">
        <f>IF(ISNUMBER(SEARCH("Market analyses",'Data extraction-synthesis'!L37)),"X","")</f>
        <v/>
      </c>
      <c r="H38" s="52" t="str">
        <f>IF(ISNUMBER(SEARCH("Literature search",'Data extraction-synthesis'!L37)),"X","")</f>
        <v/>
      </c>
      <c r="I38" s="52" t="str">
        <f>IF(ISNUMBER(SEARCH("Survey to retrieve input relevant for TPP",'Data extraction-synthesis'!L37)),"X","")</f>
        <v/>
      </c>
      <c r="J38" s="52" t="str">
        <f>IF(ISNUMBER(SEARCH("Landscaping exercise",'Data extraction-synthesis'!L37)),"X","")</f>
        <v/>
      </c>
      <c r="K38" s="52" t="str">
        <f>IF(ISNUMBER(SEARCH("Draft TPP",'Data extraction-synthesis'!L37)),"X","")</f>
        <v/>
      </c>
      <c r="L38" s="52" t="str">
        <f>IF(ISNUMBER(SEARCH("Round of revisions of TPP",'Data extraction-synthesis'!L37)),"X","")</f>
        <v/>
      </c>
      <c r="M38" s="52" t="str">
        <f>IF(ISNUMBER(SEARCH("Draft shortened TPP",'Data extraction-synthesis'!L37)),"X","")</f>
        <v/>
      </c>
      <c r="N38" s="52" t="str">
        <f>IF(ISNUMBER(SEARCH("Presentation of shortened TPP to large stakeholder audience",'Data extraction-synthesis'!L37)),"X","")</f>
        <v/>
      </c>
      <c r="O38" s="52" t="str">
        <f>IF(ISNUMBER(SEARCH("Identification of most important needs",'Data extraction-synthesis'!L37)),"X","")</f>
        <v/>
      </c>
      <c r="P38" s="52" t="str">
        <f>IF(ISNUMBER(SEARCH("Prioritization exercise",'Data extraction-synthesis'!L37)),"X","")</f>
        <v/>
      </c>
      <c r="Q38" s="52" t="str">
        <f>IF(ISNUMBER(SEARCH("Delphi-like approach to gauge stakeholders’ agreement with the TPP",'Data extraction-synthesis'!L37)),"X","")</f>
        <v/>
      </c>
      <c r="R38" s="52" t="str">
        <f>IF(ISNUMBER(SEARCH("Data analysis",'Data extraction-synthesis'!L37)),"X","")</f>
        <v/>
      </c>
      <c r="S38" s="52" t="str">
        <f>IF(ISNUMBER(SEARCH("Definition problem statement/use case  ",'Data extraction-synthesis'!L37)),"X","")</f>
        <v/>
      </c>
      <c r="T38" s="52" t="str">
        <f>IF(ISNUMBER(SEARCH("Identification of stakeholders to involve in draft TPP ",'Data extraction-synthesis'!L37)),"X","")</f>
        <v/>
      </c>
      <c r="U38" s="52" t="str">
        <f>IF(ISNUMBER(SEARCH("Definition TPP domains ",'Data extraction-synthesis'!L37)),"X","")</f>
        <v/>
      </c>
      <c r="V38" s="52" t="str">
        <f>IF(ISNUMBER(SEARCH("Survey to measure stakeholder’s preferences and agreement ",'Data extraction-synthesis'!L37)),"X","")</f>
        <v/>
      </c>
      <c r="W38" s="52" t="str">
        <f>IF(ISNUMBER(SEARCH("Reviewing available literature and data",'Data extraction-synthesis'!L37)),"X","")</f>
        <v/>
      </c>
      <c r="X38" s="52" t="str">
        <f>IF(ISNUMBER(SEARCH("Defining scope TPP ",'Data extraction-synthesis'!L37)),"X","")</f>
        <v/>
      </c>
      <c r="Y38" s="52" t="str">
        <f>IF(ISNUMBER(SEARCH("Interview with stakeholders",'Data extraction-synthesis'!L37)),"X","")</f>
        <v/>
      </c>
      <c r="Z38" s="52" t="str">
        <f>IF(ISNUMBER(SEARCH("Field research ",'Data extraction-synthesis'!L37)),"X","")</f>
        <v/>
      </c>
      <c r="AA38" s="52" t="str">
        <f>IF(ISNUMBER(SEARCH("Consolidation of findings",'Data extraction-synthesis'!L37)),"X","")</f>
        <v/>
      </c>
      <c r="AB38" s="52" t="str">
        <f>IF(ISNUMBER(SEARCH("N/A",'Data extraction-synthesis'!L37)),"X","")</f>
        <v>X</v>
      </c>
    </row>
    <row r="39" spans="1:28" ht="53.4">
      <c r="A39" s="56" t="s">
        <v>86</v>
      </c>
      <c r="B39" s="22" t="s">
        <v>91</v>
      </c>
      <c r="C39" s="52" t="str">
        <f>IF(ISNUMBER(SEARCH("Consensus/public meeting",'Data extraction-synthesis'!L38)),"X","")</f>
        <v/>
      </c>
      <c r="D39" s="52" t="str">
        <f>IF(ISNUMBER(SEARCH("Meeting with experts/stakeholders",'Data extraction-synthesis'!L38)),"X","")</f>
        <v/>
      </c>
      <c r="E39" s="52" t="str">
        <f>IF(ISNUMBER(SEARCH("Feedback from the consultation (e.g. survey, meeting, expert opinion) is incorporated into the final TPPs",'Data extraction-synthesis'!L38)),"X","")</f>
        <v/>
      </c>
      <c r="F39" s="52" t="str">
        <f>IF(ISNUMBER(SEARCH("Mapping",'Data extraction-synthesis'!L38)),"X","")</f>
        <v/>
      </c>
      <c r="G39" s="52" t="str">
        <f>IF(ISNUMBER(SEARCH("Market analyses",'Data extraction-synthesis'!L38)),"X","")</f>
        <v/>
      </c>
      <c r="H39" s="52" t="str">
        <f>IF(ISNUMBER(SEARCH("Literature search",'Data extraction-synthesis'!L38)),"X","")</f>
        <v/>
      </c>
      <c r="I39" s="52" t="str">
        <f>IF(ISNUMBER(SEARCH("Survey to retrieve input relevant for TPP",'Data extraction-synthesis'!L38)),"X","")</f>
        <v/>
      </c>
      <c r="J39" s="52" t="str">
        <f>IF(ISNUMBER(SEARCH("Landscaping exercise",'Data extraction-synthesis'!L38)),"X","")</f>
        <v/>
      </c>
      <c r="K39" s="52" t="str">
        <f>IF(ISNUMBER(SEARCH("Draft TPP",'Data extraction-synthesis'!L38)),"X","")</f>
        <v/>
      </c>
      <c r="L39" s="52" t="str">
        <f>IF(ISNUMBER(SEARCH("Round of revisions of TPP",'Data extraction-synthesis'!L38)),"X","")</f>
        <v/>
      </c>
      <c r="M39" s="52" t="str">
        <f>IF(ISNUMBER(SEARCH("Draft shortened TPP",'Data extraction-synthesis'!L38)),"X","")</f>
        <v/>
      </c>
      <c r="N39" s="52" t="str">
        <f>IF(ISNUMBER(SEARCH("Presentation of shortened TPP to large stakeholder audience",'Data extraction-synthesis'!L38)),"X","")</f>
        <v/>
      </c>
      <c r="O39" s="52" t="str">
        <f>IF(ISNUMBER(SEARCH("Identification of most important needs",'Data extraction-synthesis'!L38)),"X","")</f>
        <v/>
      </c>
      <c r="P39" s="52" t="str">
        <f>IF(ISNUMBER(SEARCH("Prioritization exercise",'Data extraction-synthesis'!L38)),"X","")</f>
        <v/>
      </c>
      <c r="Q39" s="52" t="str">
        <f>IF(ISNUMBER(SEARCH("Delphi-like approach to gauge stakeholders’ agreement with the TPP",'Data extraction-synthesis'!L38)),"X","")</f>
        <v/>
      </c>
      <c r="R39" s="52" t="str">
        <f>IF(ISNUMBER(SEARCH("Data analysis",'Data extraction-synthesis'!L38)),"X","")</f>
        <v/>
      </c>
      <c r="S39" s="52" t="str">
        <f>IF(ISNUMBER(SEARCH("Definition problem statement/use case  ",'Data extraction-synthesis'!L38)),"X","")</f>
        <v/>
      </c>
      <c r="T39" s="52" t="str">
        <f>IF(ISNUMBER(SEARCH("Identification of stakeholders to involve in draft TPP ",'Data extraction-synthesis'!L38)),"X","")</f>
        <v/>
      </c>
      <c r="U39" s="52" t="str">
        <f>IF(ISNUMBER(SEARCH("Definition TPP domains ",'Data extraction-synthesis'!L38)),"X","")</f>
        <v/>
      </c>
      <c r="V39" s="52" t="str">
        <f>IF(ISNUMBER(SEARCH("Survey to measure stakeholder’s preferences and agreement ",'Data extraction-synthesis'!L38)),"X","")</f>
        <v/>
      </c>
      <c r="W39" s="52" t="str">
        <f>IF(ISNUMBER(SEARCH("Reviewing available literature and data",'Data extraction-synthesis'!L38)),"X","")</f>
        <v/>
      </c>
      <c r="X39" s="52" t="str">
        <f>IF(ISNUMBER(SEARCH("Defining scope TPP ",'Data extraction-synthesis'!L38)),"X","")</f>
        <v/>
      </c>
      <c r="Y39" s="52" t="str">
        <f>IF(ISNUMBER(SEARCH("Interview with stakeholders",'Data extraction-synthesis'!L38)),"X","")</f>
        <v/>
      </c>
      <c r="Z39" s="52" t="str">
        <f>IF(ISNUMBER(SEARCH("Field research ",'Data extraction-synthesis'!L38)),"X","")</f>
        <v/>
      </c>
      <c r="AA39" s="52" t="str">
        <f>IF(ISNUMBER(SEARCH("Consolidation of findings",'Data extraction-synthesis'!L38)),"X","")</f>
        <v/>
      </c>
      <c r="AB39" s="52" t="str">
        <f>IF(ISNUMBER(SEARCH("N/A",'Data extraction-synthesis'!L38)),"X","")</f>
        <v>X</v>
      </c>
    </row>
    <row r="40" spans="1:28" ht="53.4">
      <c r="A40" s="56" t="s">
        <v>92</v>
      </c>
      <c r="B40" s="22" t="s">
        <v>93</v>
      </c>
      <c r="C40" s="52" t="str">
        <f>IF(ISNUMBER(SEARCH("Consensus/public meeting",'Data extraction-synthesis'!L39)),"X","")</f>
        <v/>
      </c>
      <c r="D40" s="52" t="str">
        <f>IF(ISNUMBER(SEARCH("Meeting with experts/stakeholders",'Data extraction-synthesis'!L39)),"X","")</f>
        <v/>
      </c>
      <c r="E40" s="52" t="str">
        <f>IF(ISNUMBER(SEARCH("Feedback from the consultation (e.g. survey, meeting, expert opinion) is incorporated into the final TPPs",'Data extraction-synthesis'!L39)),"X","")</f>
        <v/>
      </c>
      <c r="F40" s="52" t="str">
        <f>IF(ISNUMBER(SEARCH("Mapping",'Data extraction-synthesis'!L39)),"X","")</f>
        <v/>
      </c>
      <c r="G40" s="52" t="str">
        <f>IF(ISNUMBER(SEARCH("Market analyses",'Data extraction-synthesis'!L39)),"X","")</f>
        <v/>
      </c>
      <c r="H40" s="52" t="str">
        <f>IF(ISNUMBER(SEARCH("Literature search",'Data extraction-synthesis'!L39)),"X","")</f>
        <v/>
      </c>
      <c r="I40" s="52" t="str">
        <f>IF(ISNUMBER(SEARCH("Survey to retrieve input relevant for TPP",'Data extraction-synthesis'!L39)),"X","")</f>
        <v/>
      </c>
      <c r="J40" s="52" t="str">
        <f>IF(ISNUMBER(SEARCH("Landscaping exercise",'Data extraction-synthesis'!L39)),"X","")</f>
        <v/>
      </c>
      <c r="K40" s="52" t="str">
        <f>IF(ISNUMBER(SEARCH("Draft TPP",'Data extraction-synthesis'!L39)),"X","")</f>
        <v/>
      </c>
      <c r="L40" s="52" t="str">
        <f>IF(ISNUMBER(SEARCH("Round of revisions of TPP",'Data extraction-synthesis'!L39)),"X","")</f>
        <v/>
      </c>
      <c r="M40" s="52" t="str">
        <f>IF(ISNUMBER(SEARCH("Draft shortened TPP",'Data extraction-synthesis'!L39)),"X","")</f>
        <v/>
      </c>
      <c r="N40" s="52" t="str">
        <f>IF(ISNUMBER(SEARCH("Presentation of shortened TPP to large stakeholder audience",'Data extraction-synthesis'!L39)),"X","")</f>
        <v/>
      </c>
      <c r="O40" s="52" t="str">
        <f>IF(ISNUMBER(SEARCH("Identification of most important needs",'Data extraction-synthesis'!L39)),"X","")</f>
        <v/>
      </c>
      <c r="P40" s="52" t="str">
        <f>IF(ISNUMBER(SEARCH("Prioritization exercise",'Data extraction-synthesis'!L39)),"X","")</f>
        <v/>
      </c>
      <c r="Q40" s="52" t="str">
        <f>IF(ISNUMBER(SEARCH("Delphi-like approach to gauge stakeholders’ agreement with the TPP",'Data extraction-synthesis'!L39)),"X","")</f>
        <v/>
      </c>
      <c r="R40" s="52" t="str">
        <f>IF(ISNUMBER(SEARCH("Data analysis",'Data extraction-synthesis'!L39)),"X","")</f>
        <v/>
      </c>
      <c r="S40" s="52" t="str">
        <f>IF(ISNUMBER(SEARCH("Definition problem statement/use case  ",'Data extraction-synthesis'!L39)),"X","")</f>
        <v/>
      </c>
      <c r="T40" s="52" t="str">
        <f>IF(ISNUMBER(SEARCH("Identification of stakeholders to involve in draft TPP ",'Data extraction-synthesis'!L39)),"X","")</f>
        <v/>
      </c>
      <c r="U40" s="52" t="str">
        <f>IF(ISNUMBER(SEARCH("Definition TPP domains ",'Data extraction-synthesis'!L39)),"X","")</f>
        <v/>
      </c>
      <c r="V40" s="52" t="str">
        <f>IF(ISNUMBER(SEARCH("Survey to measure stakeholder’s preferences and agreement ",'Data extraction-synthesis'!L39)),"X","")</f>
        <v/>
      </c>
      <c r="W40" s="52" t="str">
        <f>IF(ISNUMBER(SEARCH("Reviewing available literature and data",'Data extraction-synthesis'!L39)),"X","")</f>
        <v/>
      </c>
      <c r="X40" s="52" t="str">
        <f>IF(ISNUMBER(SEARCH("Defining scope TPP ",'Data extraction-synthesis'!L39)),"X","")</f>
        <v/>
      </c>
      <c r="Y40" s="52" t="str">
        <f>IF(ISNUMBER(SEARCH("Interview with stakeholders",'Data extraction-synthesis'!L39)),"X","")</f>
        <v/>
      </c>
      <c r="Z40" s="52" t="str">
        <f>IF(ISNUMBER(SEARCH("Field research ",'Data extraction-synthesis'!L39)),"X","")</f>
        <v/>
      </c>
      <c r="AA40" s="52" t="str">
        <f>IF(ISNUMBER(SEARCH("Consolidation of findings",'Data extraction-synthesis'!L39)),"X","")</f>
        <v/>
      </c>
      <c r="AB40" s="52" t="str">
        <f>IF(ISNUMBER(SEARCH("N/A",'Data extraction-synthesis'!L39)),"X","")</f>
        <v>X</v>
      </c>
    </row>
    <row r="41" spans="1:28" ht="106.2">
      <c r="A41" s="56" t="s">
        <v>94</v>
      </c>
      <c r="B41" s="22" t="s">
        <v>95</v>
      </c>
      <c r="C41" s="52" t="str">
        <f>IF(ISNUMBER(SEARCH("Consensus/public meeting",'Data extraction-synthesis'!L40)),"X","")</f>
        <v/>
      </c>
      <c r="D41" s="52" t="str">
        <f>IF(ISNUMBER(SEARCH("Meeting with experts/stakeholders",'Data extraction-synthesis'!L40)),"X","")</f>
        <v/>
      </c>
      <c r="E41" s="52" t="str">
        <f>IF(ISNUMBER(SEARCH("Feedback from the consultation (e.g. survey, meeting, expert opinion) is incorporated into the final TPPs",'Data extraction-synthesis'!L40)),"X","")</f>
        <v/>
      </c>
      <c r="F41" s="52" t="str">
        <f>IF(ISNUMBER(SEARCH("Mapping",'Data extraction-synthesis'!L40)),"X","")</f>
        <v/>
      </c>
      <c r="G41" s="52" t="str">
        <f>IF(ISNUMBER(SEARCH("Market analyses",'Data extraction-synthesis'!L40)),"X","")</f>
        <v/>
      </c>
      <c r="H41" s="52" t="str">
        <f>IF(ISNUMBER(SEARCH("Literature search",'Data extraction-synthesis'!L40)),"X","")</f>
        <v/>
      </c>
      <c r="I41" s="52" t="str">
        <f>IF(ISNUMBER(SEARCH("Survey to retrieve input relevant for TPP",'Data extraction-synthesis'!L40)),"X","")</f>
        <v/>
      </c>
      <c r="J41" s="52" t="str">
        <f>IF(ISNUMBER(SEARCH("Landscaping exercise",'Data extraction-synthesis'!L40)),"X","")</f>
        <v/>
      </c>
      <c r="K41" s="52" t="str">
        <f>IF(ISNUMBER(SEARCH("Draft TPP",'Data extraction-synthesis'!L40)),"X","")</f>
        <v>X</v>
      </c>
      <c r="L41" s="52" t="str">
        <f>IF(ISNUMBER(SEARCH("Round of revisions of TPP",'Data extraction-synthesis'!L40)),"X","")</f>
        <v/>
      </c>
      <c r="M41" s="52" t="str">
        <f>IF(ISNUMBER(SEARCH("Draft shortened TPP",'Data extraction-synthesis'!L40)),"X","")</f>
        <v/>
      </c>
      <c r="N41" s="52" t="str">
        <f>IF(ISNUMBER(SEARCH("Presentation of shortened TPP to large stakeholder audience",'Data extraction-synthesis'!L40)),"X","")</f>
        <v/>
      </c>
      <c r="O41" s="52" t="str">
        <f>IF(ISNUMBER(SEARCH("Identification of most important needs",'Data extraction-synthesis'!L40)),"X","")</f>
        <v/>
      </c>
      <c r="P41" s="52" t="str">
        <f>IF(ISNUMBER(SEARCH("Prioritization exercise",'Data extraction-synthesis'!L40)),"X","")</f>
        <v/>
      </c>
      <c r="Q41" s="52" t="str">
        <f>IF(ISNUMBER(SEARCH("Delphi-like approach to gauge stakeholders’ agreement with the TPP",'Data extraction-synthesis'!L40)),"X","")</f>
        <v/>
      </c>
      <c r="R41" s="52" t="str">
        <f>IF(ISNUMBER(SEARCH("Data analysis",'Data extraction-synthesis'!L40)),"X","")</f>
        <v/>
      </c>
      <c r="S41" s="52" t="str">
        <f>IF(ISNUMBER(SEARCH("Definition problem statement/use case  ",'Data extraction-synthesis'!L40)),"X","")</f>
        <v>X</v>
      </c>
      <c r="T41" s="52" t="str">
        <f>IF(ISNUMBER(SEARCH("Identification of stakeholders to involve in draft TPP ",'Data extraction-synthesis'!L40)),"X","")</f>
        <v/>
      </c>
      <c r="U41" s="52" t="str">
        <f>IF(ISNUMBER(SEARCH("Definition TPP domains ",'Data extraction-synthesis'!L40)),"X","")</f>
        <v/>
      </c>
      <c r="V41" s="52" t="str">
        <f>IF(ISNUMBER(SEARCH("Survey to measure stakeholder’s preferences and agreement ",'Data extraction-synthesis'!L40)),"X","")</f>
        <v/>
      </c>
      <c r="W41" s="52" t="str">
        <f>IF(ISNUMBER(SEARCH("Reviewing available literature and data",'Data extraction-synthesis'!L40)),"X","")</f>
        <v/>
      </c>
      <c r="X41" s="52" t="str">
        <f>IF(ISNUMBER(SEARCH("Defining scope TPP ",'Data extraction-synthesis'!L40)),"X","")</f>
        <v/>
      </c>
      <c r="Y41" s="52" t="str">
        <f>IF(ISNUMBER(SEARCH("Interview with stakeholders",'Data extraction-synthesis'!L40)),"X","")</f>
        <v/>
      </c>
      <c r="Z41" s="52" t="str">
        <f>IF(ISNUMBER(SEARCH("Field research ",'Data extraction-synthesis'!L40)),"X","")</f>
        <v/>
      </c>
      <c r="AA41" s="52" t="str">
        <f>IF(ISNUMBER(SEARCH("Consolidation of findings",'Data extraction-synthesis'!L40)),"X","")</f>
        <v>X</v>
      </c>
      <c r="AB41" s="52" t="str">
        <f>IF(ISNUMBER(SEARCH("N/A",'Data extraction-synthesis'!L40)),"X","")</f>
        <v/>
      </c>
    </row>
    <row r="42" spans="1:28" ht="79.8">
      <c r="A42" s="56" t="s">
        <v>58</v>
      </c>
      <c r="B42" s="22" t="s">
        <v>98</v>
      </c>
      <c r="C42" s="52" t="str">
        <f>IF(ISNUMBER(SEARCH("Consensus/public meeting",'Data extraction-synthesis'!L41)),"X","")</f>
        <v/>
      </c>
      <c r="D42" s="52" t="str">
        <f>IF(ISNUMBER(SEARCH("Meeting with experts/stakeholders",'Data extraction-synthesis'!L41)),"X","")</f>
        <v/>
      </c>
      <c r="E42" s="52" t="str">
        <f>IF(ISNUMBER(SEARCH("Feedback from the consultation (e.g. survey, meeting, expert opinion) is incorporated into the final TPPs",'Data extraction-synthesis'!L41)),"X","")</f>
        <v/>
      </c>
      <c r="F42" s="52" t="str">
        <f>IF(ISNUMBER(SEARCH("Mapping",'Data extraction-synthesis'!L41)),"X","")</f>
        <v/>
      </c>
      <c r="G42" s="52" t="str">
        <f>IF(ISNUMBER(SEARCH("Market analyses",'Data extraction-synthesis'!L41)),"X","")</f>
        <v/>
      </c>
      <c r="H42" s="52" t="str">
        <f>IF(ISNUMBER(SEARCH("Literature search",'Data extraction-synthesis'!L41)),"X","")</f>
        <v/>
      </c>
      <c r="I42" s="52" t="str">
        <f>IF(ISNUMBER(SEARCH("Survey to retrieve input relevant for TPP",'Data extraction-synthesis'!L41)),"X","")</f>
        <v/>
      </c>
      <c r="J42" s="52" t="str">
        <f>IF(ISNUMBER(SEARCH("Landscaping exercise",'Data extraction-synthesis'!L41)),"X","")</f>
        <v/>
      </c>
      <c r="K42" s="52" t="str">
        <f>IF(ISNUMBER(SEARCH("Draft TPP",'Data extraction-synthesis'!L41)),"X","")</f>
        <v>X</v>
      </c>
      <c r="L42" s="52" t="str">
        <f>IF(ISNUMBER(SEARCH("Round of revisions of TPP",'Data extraction-synthesis'!L41)),"X","")</f>
        <v/>
      </c>
      <c r="M42" s="52" t="str">
        <f>IF(ISNUMBER(SEARCH("Draft shortened TPP",'Data extraction-synthesis'!L41)),"X","")</f>
        <v/>
      </c>
      <c r="N42" s="52" t="str">
        <f>IF(ISNUMBER(SEARCH("Presentation of shortened TPP to large stakeholder audience",'Data extraction-synthesis'!L41)),"X","")</f>
        <v/>
      </c>
      <c r="O42" s="52" t="str">
        <f>IF(ISNUMBER(SEARCH("Identification of most important needs",'Data extraction-synthesis'!L41)),"X","")</f>
        <v/>
      </c>
      <c r="P42" s="52" t="str">
        <f>IF(ISNUMBER(SEARCH("Prioritization exercise",'Data extraction-synthesis'!L41)),"X","")</f>
        <v/>
      </c>
      <c r="Q42" s="52" t="str">
        <f>IF(ISNUMBER(SEARCH("Delphi-like approach to gauge stakeholders’ agreement with the TPP",'Data extraction-synthesis'!L41)),"X","")</f>
        <v>X</v>
      </c>
      <c r="R42" s="52" t="str">
        <f>IF(ISNUMBER(SEARCH("Data analysis",'Data extraction-synthesis'!L41)),"X","")</f>
        <v/>
      </c>
      <c r="S42" s="52" t="str">
        <f>IF(ISNUMBER(SEARCH("Definition problem statement/use case  ",'Data extraction-synthesis'!L41)),"X","")</f>
        <v/>
      </c>
      <c r="T42" s="52" t="str">
        <f>IF(ISNUMBER(SEARCH("Identification of stakeholders to involve in draft TPP ",'Data extraction-synthesis'!L41)),"X","")</f>
        <v/>
      </c>
      <c r="U42" s="52" t="str">
        <f>IF(ISNUMBER(SEARCH("Definition TPP domains ",'Data extraction-synthesis'!L41)),"X","")</f>
        <v/>
      </c>
      <c r="V42" s="52" t="str">
        <f>IF(ISNUMBER(SEARCH("Survey to measure stakeholder’s preferences and agreement ",'Data extraction-synthesis'!L41)),"X","")</f>
        <v/>
      </c>
      <c r="W42" s="52" t="str">
        <f>IF(ISNUMBER(SEARCH("Reviewing available literature and data",'Data extraction-synthesis'!L41)),"X","")</f>
        <v/>
      </c>
      <c r="X42" s="52" t="str">
        <f>IF(ISNUMBER(SEARCH("Defining scope TPP ",'Data extraction-synthesis'!L41)),"X","")</f>
        <v/>
      </c>
      <c r="Y42" s="52" t="str">
        <f>IF(ISNUMBER(SEARCH("Interview with stakeholders",'Data extraction-synthesis'!L41)),"X","")</f>
        <v/>
      </c>
      <c r="Z42" s="52" t="str">
        <f>IF(ISNUMBER(SEARCH("Field research ",'Data extraction-synthesis'!L41)),"X","")</f>
        <v/>
      </c>
      <c r="AA42" s="52" t="str">
        <f>IF(ISNUMBER(SEARCH("Consolidation of findings",'Data extraction-synthesis'!L41)),"X","")</f>
        <v/>
      </c>
      <c r="AB42" s="52" t="str">
        <f>IF(ISNUMBER(SEARCH("N/A",'Data extraction-synthesis'!L41)),"X","")</f>
        <v/>
      </c>
    </row>
    <row r="43" spans="1:28" ht="66.6">
      <c r="A43" s="56" t="s">
        <v>61</v>
      </c>
      <c r="B43" s="22" t="s">
        <v>99</v>
      </c>
      <c r="C43" s="52" t="str">
        <f>IF(ISNUMBER(SEARCH("Consensus/public meeting",'Data extraction-synthesis'!L42)),"X","")</f>
        <v/>
      </c>
      <c r="D43" s="52" t="str">
        <f>IF(ISNUMBER(SEARCH("Meeting with experts/stakeholders",'Data extraction-synthesis'!L42)),"X","")</f>
        <v/>
      </c>
      <c r="E43" s="52" t="str">
        <f>IF(ISNUMBER(SEARCH("Feedback from the consultation (e.g. survey, meeting, expert opinion) is incorporated into the final TPPs",'Data extraction-synthesis'!L42)),"X","")</f>
        <v/>
      </c>
      <c r="F43" s="52" t="str">
        <f>IF(ISNUMBER(SEARCH("Mapping",'Data extraction-synthesis'!L42)),"X","")</f>
        <v/>
      </c>
      <c r="G43" s="52" t="str">
        <f>IF(ISNUMBER(SEARCH("Market analyses",'Data extraction-synthesis'!L42)),"X","")</f>
        <v/>
      </c>
      <c r="H43" s="52" t="str">
        <f>IF(ISNUMBER(SEARCH("Literature search",'Data extraction-synthesis'!L42)),"X","")</f>
        <v/>
      </c>
      <c r="I43" s="52" t="str">
        <f>IF(ISNUMBER(SEARCH("Survey to retrieve input relevant for TPP",'Data extraction-synthesis'!L42)),"X","")</f>
        <v/>
      </c>
      <c r="J43" s="52" t="str">
        <f>IF(ISNUMBER(SEARCH("Landscaping exercise",'Data extraction-synthesis'!L42)),"X","")</f>
        <v/>
      </c>
      <c r="K43" s="52" t="str">
        <f>IF(ISNUMBER(SEARCH("Draft TPP",'Data extraction-synthesis'!L42)),"X","")</f>
        <v/>
      </c>
      <c r="L43" s="52" t="str">
        <f>IF(ISNUMBER(SEARCH("Round of revisions of TPP",'Data extraction-synthesis'!L42)),"X","")</f>
        <v/>
      </c>
      <c r="M43" s="52" t="str">
        <f>IF(ISNUMBER(SEARCH("Draft shortened TPP",'Data extraction-synthesis'!L42)),"X","")</f>
        <v/>
      </c>
      <c r="N43" s="52" t="str">
        <f>IF(ISNUMBER(SEARCH("Presentation of shortened TPP to large stakeholder audience",'Data extraction-synthesis'!L42)),"X","")</f>
        <v/>
      </c>
      <c r="O43" s="52" t="str">
        <f>IF(ISNUMBER(SEARCH("Identification of most important needs",'Data extraction-synthesis'!L42)),"X","")</f>
        <v/>
      </c>
      <c r="P43" s="52" t="str">
        <f>IF(ISNUMBER(SEARCH("Prioritization exercise",'Data extraction-synthesis'!L42)),"X","")</f>
        <v/>
      </c>
      <c r="Q43" s="52" t="str">
        <f>IF(ISNUMBER(SEARCH("Delphi-like approach to gauge stakeholders’ agreement with the TPP",'Data extraction-synthesis'!L42)),"X","")</f>
        <v/>
      </c>
      <c r="R43" s="52" t="str">
        <f>IF(ISNUMBER(SEARCH("Data analysis",'Data extraction-synthesis'!L42)),"X","")</f>
        <v/>
      </c>
      <c r="S43" s="52" t="str">
        <f>IF(ISNUMBER(SEARCH("Definition problem statement/use case  ",'Data extraction-synthesis'!L42)),"X","")</f>
        <v/>
      </c>
      <c r="T43" s="52" t="str">
        <f>IF(ISNUMBER(SEARCH("Identification of stakeholders to involve in draft TPP ",'Data extraction-synthesis'!L42)),"X","")</f>
        <v/>
      </c>
      <c r="U43" s="52" t="str">
        <f>IF(ISNUMBER(SEARCH("Definition TPP domains ",'Data extraction-synthesis'!L42)),"X","")</f>
        <v/>
      </c>
      <c r="V43" s="52" t="str">
        <f>IF(ISNUMBER(SEARCH("Survey to measure stakeholder’s preferences and agreement ",'Data extraction-synthesis'!L42)),"X","")</f>
        <v/>
      </c>
      <c r="W43" s="52" t="str">
        <f>IF(ISNUMBER(SEARCH("Reviewing available literature and data",'Data extraction-synthesis'!L42)),"X","")</f>
        <v/>
      </c>
      <c r="X43" s="52" t="str">
        <f>IF(ISNUMBER(SEARCH("Defining scope TPP ",'Data extraction-synthesis'!L42)),"X","")</f>
        <v/>
      </c>
      <c r="Y43" s="52" t="str">
        <f>IF(ISNUMBER(SEARCH("Interview with stakeholders",'Data extraction-synthesis'!L42)),"X","")</f>
        <v/>
      </c>
      <c r="Z43" s="52" t="str">
        <f>IF(ISNUMBER(SEARCH("Field research ",'Data extraction-synthesis'!L42)),"X","")</f>
        <v/>
      </c>
      <c r="AA43" s="52" t="str">
        <f>IF(ISNUMBER(SEARCH("Consolidation of findings",'Data extraction-synthesis'!L42)),"X","")</f>
        <v/>
      </c>
      <c r="AB43" s="52" t="str">
        <f>IF(ISNUMBER(SEARCH("N/A",'Data extraction-synthesis'!L42)),"X","")</f>
        <v>X</v>
      </c>
    </row>
    <row r="44" spans="1:28" ht="53.4">
      <c r="A44" s="56" t="s">
        <v>100</v>
      </c>
      <c r="B44" s="22" t="s">
        <v>101</v>
      </c>
      <c r="C44" s="52" t="str">
        <f>IF(ISNUMBER(SEARCH("Consensus/public meeting",'Data extraction-synthesis'!L43)),"X","")</f>
        <v/>
      </c>
      <c r="D44" s="52" t="str">
        <f>IF(ISNUMBER(SEARCH("Meeting with experts/stakeholders",'Data extraction-synthesis'!L43)),"X","")</f>
        <v/>
      </c>
      <c r="E44" s="52" t="str">
        <f>IF(ISNUMBER(SEARCH("Feedback from the consultation (e.g. survey, meeting, expert opinion) is incorporated into the final TPPs",'Data extraction-synthesis'!L43)),"X","")</f>
        <v/>
      </c>
      <c r="F44" s="52" t="str">
        <f>IF(ISNUMBER(SEARCH("Mapping",'Data extraction-synthesis'!L43)),"X","")</f>
        <v/>
      </c>
      <c r="G44" s="52" t="str">
        <f>IF(ISNUMBER(SEARCH("Market analyses",'Data extraction-synthesis'!L43)),"X","")</f>
        <v/>
      </c>
      <c r="H44" s="52" t="str">
        <f>IF(ISNUMBER(SEARCH("Literature search",'Data extraction-synthesis'!L43)),"X","")</f>
        <v/>
      </c>
      <c r="I44" s="52" t="str">
        <f>IF(ISNUMBER(SEARCH("Survey to retrieve input relevant for TPP",'Data extraction-synthesis'!L43)),"X","")</f>
        <v/>
      </c>
      <c r="J44" s="52" t="str">
        <f>IF(ISNUMBER(SEARCH("Landscaping exercise",'Data extraction-synthesis'!L43)),"X","")</f>
        <v/>
      </c>
      <c r="K44" s="52" t="str">
        <f>IF(ISNUMBER(SEARCH("Draft TPP",'Data extraction-synthesis'!L43)),"X","")</f>
        <v>X</v>
      </c>
      <c r="L44" s="52" t="str">
        <f>IF(ISNUMBER(SEARCH("Round of revisions of TPP",'Data extraction-synthesis'!L43)),"X","")</f>
        <v/>
      </c>
      <c r="M44" s="52" t="str">
        <f>IF(ISNUMBER(SEARCH("Draft shortened TPP",'Data extraction-synthesis'!L43)),"X","")</f>
        <v/>
      </c>
      <c r="N44" s="52" t="str">
        <f>IF(ISNUMBER(SEARCH("Presentation of shortened TPP to large stakeholder audience",'Data extraction-synthesis'!L43)),"X","")</f>
        <v/>
      </c>
      <c r="O44" s="52" t="str">
        <f>IF(ISNUMBER(SEARCH("Identification of most important needs",'Data extraction-synthesis'!L43)),"X","")</f>
        <v/>
      </c>
      <c r="P44" s="52" t="str">
        <f>IF(ISNUMBER(SEARCH("Prioritization exercise",'Data extraction-synthesis'!L43)),"X","")</f>
        <v/>
      </c>
      <c r="Q44" s="52" t="str">
        <f>IF(ISNUMBER(SEARCH("Delphi-like approach to gauge stakeholders’ agreement with the TPP",'Data extraction-synthesis'!L43)),"X","")</f>
        <v/>
      </c>
      <c r="R44" s="52" t="str">
        <f>IF(ISNUMBER(SEARCH("Data analysis",'Data extraction-synthesis'!L43)),"X","")</f>
        <v/>
      </c>
      <c r="S44" s="52" t="str">
        <f>IF(ISNUMBER(SEARCH("Definition problem statement/use case  ",'Data extraction-synthesis'!L43)),"X","")</f>
        <v>X</v>
      </c>
      <c r="T44" s="52" t="str">
        <f>IF(ISNUMBER(SEARCH("Identification of stakeholders to involve in draft TPP ",'Data extraction-synthesis'!L43)),"X","")</f>
        <v/>
      </c>
      <c r="U44" s="52" t="str">
        <f>IF(ISNUMBER(SEARCH("Definition TPP domains ",'Data extraction-synthesis'!L43)),"X","")</f>
        <v/>
      </c>
      <c r="V44" s="52" t="str">
        <f>IF(ISNUMBER(SEARCH("Survey to measure stakeholder’s preferences and agreement ",'Data extraction-synthesis'!L43)),"X","")</f>
        <v/>
      </c>
      <c r="W44" s="52" t="str">
        <f>IF(ISNUMBER(SEARCH("Reviewing available literature and data",'Data extraction-synthesis'!L43)),"X","")</f>
        <v/>
      </c>
      <c r="X44" s="52" t="str">
        <f>IF(ISNUMBER(SEARCH("Defining scope TPP ",'Data extraction-synthesis'!L43)),"X","")</f>
        <v/>
      </c>
      <c r="Y44" s="52" t="str">
        <f>IF(ISNUMBER(SEARCH("Interview with stakeholders",'Data extraction-synthesis'!L43)),"X","")</f>
        <v/>
      </c>
      <c r="Z44" s="52" t="str">
        <f>IF(ISNUMBER(SEARCH("Field research ",'Data extraction-synthesis'!L43)),"X","")</f>
        <v/>
      </c>
      <c r="AA44" s="52" t="str">
        <f>IF(ISNUMBER(SEARCH("Consolidation of findings",'Data extraction-synthesis'!L43)),"X","")</f>
        <v/>
      </c>
      <c r="AB44" s="52" t="str">
        <f>IF(ISNUMBER(SEARCH("N/A",'Data extraction-synthesis'!L43)),"X","")</f>
        <v/>
      </c>
    </row>
    <row r="45" spans="1:28" ht="145.8">
      <c r="A45" s="56" t="s">
        <v>61</v>
      </c>
      <c r="B45" s="22" t="s">
        <v>103</v>
      </c>
      <c r="C45" s="52" t="str">
        <f>IF(ISNUMBER(SEARCH("Consensus/public meeting",'Data extraction-synthesis'!L44)),"X","")</f>
        <v/>
      </c>
      <c r="D45" s="52" t="str">
        <f>IF(ISNUMBER(SEARCH("Meeting with experts/stakeholders",'Data extraction-synthesis'!L44)),"X","")</f>
        <v/>
      </c>
      <c r="E45" s="52" t="str">
        <f>IF(ISNUMBER(SEARCH("Feedback from the consultation (e.g. survey, meeting, expert opinion) is incorporated into the final TPPs",'Data extraction-synthesis'!L44)),"X","")</f>
        <v/>
      </c>
      <c r="F45" s="52" t="str">
        <f>IF(ISNUMBER(SEARCH("Mapping",'Data extraction-synthesis'!L44)),"X","")</f>
        <v/>
      </c>
      <c r="G45" s="52" t="str">
        <f>IF(ISNUMBER(SEARCH("Market analyses",'Data extraction-synthesis'!L44)),"X","")</f>
        <v/>
      </c>
      <c r="H45" s="52" t="str">
        <f>IF(ISNUMBER(SEARCH("Literature search",'Data extraction-synthesis'!L44)),"X","")</f>
        <v/>
      </c>
      <c r="I45" s="52" t="str">
        <f>IF(ISNUMBER(SEARCH("Survey to retrieve input relevant for TPP",'Data extraction-synthesis'!L44)),"X","")</f>
        <v/>
      </c>
      <c r="J45" s="52" t="str">
        <f>IF(ISNUMBER(SEARCH("Landscaping exercise",'Data extraction-synthesis'!L44)),"X","")</f>
        <v/>
      </c>
      <c r="K45" s="52" t="str">
        <f>IF(ISNUMBER(SEARCH("Draft TPP",'Data extraction-synthesis'!L44)),"X","")</f>
        <v/>
      </c>
      <c r="L45" s="52" t="str">
        <f>IF(ISNUMBER(SEARCH("Round of revisions of TPP",'Data extraction-synthesis'!L44)),"X","")</f>
        <v/>
      </c>
      <c r="M45" s="52" t="str">
        <f>IF(ISNUMBER(SEARCH("Draft shortened TPP",'Data extraction-synthesis'!L44)),"X","")</f>
        <v/>
      </c>
      <c r="N45" s="52" t="str">
        <f>IF(ISNUMBER(SEARCH("Presentation of shortened TPP to large stakeholder audience",'Data extraction-synthesis'!L44)),"X","")</f>
        <v/>
      </c>
      <c r="O45" s="52" t="str">
        <f>IF(ISNUMBER(SEARCH("Identification of most important needs",'Data extraction-synthesis'!L44)),"X","")</f>
        <v/>
      </c>
      <c r="P45" s="52" t="str">
        <f>IF(ISNUMBER(SEARCH("Prioritization exercise",'Data extraction-synthesis'!L44)),"X","")</f>
        <v/>
      </c>
      <c r="Q45" s="52" t="str">
        <f>IF(ISNUMBER(SEARCH("Delphi-like approach to gauge stakeholders’ agreement with the TPP",'Data extraction-synthesis'!L44)),"X","")</f>
        <v/>
      </c>
      <c r="R45" s="52" t="str">
        <f>IF(ISNUMBER(SEARCH("Data analysis",'Data extraction-synthesis'!L44)),"X","")</f>
        <v/>
      </c>
      <c r="S45" s="52" t="str">
        <f>IF(ISNUMBER(SEARCH("Definition problem statement/use case  ",'Data extraction-synthesis'!L44)),"X","")</f>
        <v/>
      </c>
      <c r="T45" s="52" t="str">
        <f>IF(ISNUMBER(SEARCH("Identification of stakeholders to involve in draft TPP ",'Data extraction-synthesis'!L44)),"X","")</f>
        <v/>
      </c>
      <c r="U45" s="52" t="str">
        <f>IF(ISNUMBER(SEARCH("Definition TPP domains ",'Data extraction-synthesis'!L44)),"X","")</f>
        <v/>
      </c>
      <c r="V45" s="52" t="str">
        <f>IF(ISNUMBER(SEARCH("Survey to measure stakeholder’s preferences and agreement ",'Data extraction-synthesis'!L44)),"X","")</f>
        <v/>
      </c>
      <c r="W45" s="52" t="str">
        <f>IF(ISNUMBER(SEARCH("Reviewing available literature and data",'Data extraction-synthesis'!L44)),"X","")</f>
        <v/>
      </c>
      <c r="X45" s="52" t="str">
        <f>IF(ISNUMBER(SEARCH("Defining scope TPP ",'Data extraction-synthesis'!L44)),"X","")</f>
        <v/>
      </c>
      <c r="Y45" s="52" t="str">
        <f>IF(ISNUMBER(SEARCH("Interview with stakeholders",'Data extraction-synthesis'!L44)),"X","")</f>
        <v/>
      </c>
      <c r="Z45" s="52" t="str">
        <f>IF(ISNUMBER(SEARCH("Field research ",'Data extraction-synthesis'!L44)),"X","")</f>
        <v/>
      </c>
      <c r="AA45" s="52" t="str">
        <f>IF(ISNUMBER(SEARCH("Consolidation of findings",'Data extraction-synthesis'!L44)),"X","")</f>
        <v/>
      </c>
      <c r="AB45" s="52" t="str">
        <f>IF(ISNUMBER(SEARCH("N/A",'Data extraction-synthesis'!L44)),"X","")</f>
        <v>X</v>
      </c>
    </row>
    <row r="46" spans="1:28" ht="40.2">
      <c r="A46" s="56" t="s">
        <v>347</v>
      </c>
      <c r="B46" s="4" t="s">
        <v>348</v>
      </c>
      <c r="C46" s="52" t="str">
        <f>IF(ISNUMBER(SEARCH("Consensus/public meeting",'Data extraction-synthesis'!L45)),"X","")</f>
        <v>X</v>
      </c>
      <c r="D46" s="52" t="str">
        <f>IF(ISNUMBER(SEARCH("Meeting with experts/stakeholders",'Data extraction-synthesis'!L45)),"X","")</f>
        <v/>
      </c>
      <c r="E46" s="52" t="str">
        <f>IF(ISNUMBER(SEARCH("Feedback from the consultation (e.g. survey, meeting, expert opinion) is incorporated into the final TPPs",'Data extraction-synthesis'!L45)),"X","")</f>
        <v>X</v>
      </c>
      <c r="F46" s="52" t="str">
        <f>IF(ISNUMBER(SEARCH("Mapping",'Data extraction-synthesis'!L45)),"X","")</f>
        <v/>
      </c>
      <c r="G46" s="52" t="str">
        <f>IF(ISNUMBER(SEARCH("Market analyses",'Data extraction-synthesis'!L45)),"X","")</f>
        <v/>
      </c>
      <c r="H46" s="52" t="str">
        <f>IF(ISNUMBER(SEARCH("Literature search",'Data extraction-synthesis'!L45)),"X","")</f>
        <v/>
      </c>
      <c r="I46" s="52" t="str">
        <f>IF(ISNUMBER(SEARCH("Survey to retrieve input relevant for TPP",'Data extraction-synthesis'!L45)),"X","")</f>
        <v/>
      </c>
      <c r="J46" s="52" t="str">
        <f>IF(ISNUMBER(SEARCH("Landscaping exercise",'Data extraction-synthesis'!L45)),"X","")</f>
        <v/>
      </c>
      <c r="K46" s="52" t="str">
        <f>IF(ISNUMBER(SEARCH("Draft TPP",'Data extraction-synthesis'!L45)),"X","")</f>
        <v>X</v>
      </c>
      <c r="L46" s="52" t="str">
        <f>IF(ISNUMBER(SEARCH("Round of revisions of TPP",'Data extraction-synthesis'!L45)),"X","")</f>
        <v/>
      </c>
      <c r="M46" s="52" t="str">
        <f>IF(ISNUMBER(SEARCH("Draft shortened TPP",'Data extraction-synthesis'!L45)),"X","")</f>
        <v/>
      </c>
      <c r="N46" s="52" t="str">
        <f>IF(ISNUMBER(SEARCH("Presentation of shortened TPP to large stakeholder audience",'Data extraction-synthesis'!L45)),"X","")</f>
        <v/>
      </c>
      <c r="O46" s="52" t="str">
        <f>IF(ISNUMBER(SEARCH("Identification of most important needs",'Data extraction-synthesis'!L45)),"X","")</f>
        <v/>
      </c>
      <c r="P46" s="52" t="str">
        <f>IF(ISNUMBER(SEARCH("Prioritization exercise",'Data extraction-synthesis'!L45)),"X","")</f>
        <v/>
      </c>
      <c r="Q46" s="52" t="str">
        <f>IF(ISNUMBER(SEARCH("Delphi-like approach to gauge stakeholders’ agreement with the TPP",'Data extraction-synthesis'!L45)),"X","")</f>
        <v>X</v>
      </c>
      <c r="R46" s="52" t="str">
        <f>IF(ISNUMBER(SEARCH("Data analysis",'Data extraction-synthesis'!L45)),"X","")</f>
        <v/>
      </c>
      <c r="S46" s="52" t="str">
        <f>IF(ISNUMBER(SEARCH("Definition problem statement/use case  ",'Data extraction-synthesis'!L45)),"X","")</f>
        <v/>
      </c>
      <c r="T46" s="52" t="str">
        <f>IF(ISNUMBER(SEARCH("Identification of stakeholders to involve in draft TPP ",'Data extraction-synthesis'!L45)),"X","")</f>
        <v/>
      </c>
      <c r="U46" s="52" t="str">
        <f>IF(ISNUMBER(SEARCH("Definition TPP domains ",'Data extraction-synthesis'!L45)),"X","")</f>
        <v/>
      </c>
      <c r="V46" s="52" t="str">
        <f>IF(ISNUMBER(SEARCH("Survey to measure stakeholder’s preferences and agreement ",'Data extraction-synthesis'!L45)),"X","")</f>
        <v/>
      </c>
      <c r="W46" s="52" t="str">
        <f>IF(ISNUMBER(SEARCH("Reviewing available literature and data",'Data extraction-synthesis'!L45)),"X","")</f>
        <v/>
      </c>
      <c r="X46" s="52" t="str">
        <f>IF(ISNUMBER(SEARCH("Defining scope TPP ",'Data extraction-synthesis'!L45)),"X","")</f>
        <v/>
      </c>
      <c r="Y46" s="52" t="str">
        <f>IF(ISNUMBER(SEARCH("Interview with stakeholders",'Data extraction-synthesis'!L45)),"X","")</f>
        <v>X</v>
      </c>
      <c r="Z46" s="52" t="str">
        <f>IF(ISNUMBER(SEARCH("Field research ",'Data extraction-synthesis'!L45)),"X","")</f>
        <v/>
      </c>
      <c r="AA46" s="52" t="str">
        <f>IF(ISNUMBER(SEARCH("Consolidation of findings",'Data extraction-synthesis'!L45)),"X","")</f>
        <v/>
      </c>
      <c r="AB46" s="52" t="str">
        <f>IF(ISNUMBER(SEARCH("N/A",'Data extraction-synthesis'!L45)),"X","")</f>
        <v/>
      </c>
    </row>
    <row r="47" spans="2:28" ht="15.75">
      <c r="B47" s="93" t="s">
        <v>180</v>
      </c>
      <c r="C47" s="29">
        <f>COUNTIF(C3:C46,"X")</f>
        <v>12</v>
      </c>
      <c r="D47" s="29">
        <f aca="true" t="shared" si="0" ref="D47:X47">COUNTIF(D3:D46,"X")</f>
        <v>6</v>
      </c>
      <c r="E47" s="29">
        <f t="shared" si="0"/>
        <v>11</v>
      </c>
      <c r="F47" s="29">
        <f t="shared" si="0"/>
        <v>1</v>
      </c>
      <c r="G47" s="29">
        <f t="shared" si="0"/>
        <v>0</v>
      </c>
      <c r="H47" s="29">
        <f t="shared" si="0"/>
        <v>0</v>
      </c>
      <c r="I47" s="29">
        <f t="shared" si="0"/>
        <v>3</v>
      </c>
      <c r="J47" s="29">
        <f t="shared" si="0"/>
        <v>5</v>
      </c>
      <c r="K47" s="29">
        <f t="shared" si="0"/>
        <v>29</v>
      </c>
      <c r="L47" s="29">
        <f t="shared" si="0"/>
        <v>11</v>
      </c>
      <c r="M47" s="29">
        <f t="shared" si="0"/>
        <v>5</v>
      </c>
      <c r="N47" s="29">
        <f t="shared" si="0"/>
        <v>2</v>
      </c>
      <c r="O47" s="29">
        <f t="shared" si="0"/>
        <v>3</v>
      </c>
      <c r="P47" s="29">
        <f t="shared" si="0"/>
        <v>5</v>
      </c>
      <c r="Q47" s="29">
        <f t="shared" si="0"/>
        <v>10</v>
      </c>
      <c r="R47" s="29">
        <f t="shared" si="0"/>
        <v>0</v>
      </c>
      <c r="S47" s="29">
        <f t="shared" si="0"/>
        <v>10</v>
      </c>
      <c r="T47" s="29">
        <f t="shared" si="0"/>
        <v>1</v>
      </c>
      <c r="U47" s="29">
        <f t="shared" si="0"/>
        <v>1</v>
      </c>
      <c r="V47" s="29">
        <f t="shared" si="0"/>
        <v>5</v>
      </c>
      <c r="W47" s="29">
        <f t="shared" si="0"/>
        <v>3</v>
      </c>
      <c r="X47" s="29">
        <f t="shared" si="0"/>
        <v>2</v>
      </c>
      <c r="Y47" s="29">
        <f>COUNTIF(Y3:Y46,"X")</f>
        <v>1</v>
      </c>
      <c r="Z47" s="29">
        <f>COUNTIF(Z3:Z46,"X")</f>
        <v>0</v>
      </c>
      <c r="AA47" s="29">
        <f>COUNTIF(AA3:AA46,"X")</f>
        <v>2</v>
      </c>
      <c r="AB47" s="29">
        <f>COUNTIF(AB3:AB46,"X")</f>
        <v>14</v>
      </c>
    </row>
    <row r="48" spans="1:28" ht="15.75">
      <c r="A48" s="56"/>
      <c r="C48" s="28">
        <f>C47/44</f>
        <v>0.2727272727272727</v>
      </c>
      <c r="D48" s="28">
        <f aca="true" t="shared" si="1" ref="D48:X48">D47/44</f>
        <v>0.13636363636363635</v>
      </c>
      <c r="E48" s="28">
        <f t="shared" si="1"/>
        <v>0.25</v>
      </c>
      <c r="F48" s="28">
        <f t="shared" si="1"/>
        <v>0.022727272727272728</v>
      </c>
      <c r="G48" s="28">
        <f t="shared" si="1"/>
        <v>0</v>
      </c>
      <c r="H48" s="28">
        <f t="shared" si="1"/>
        <v>0</v>
      </c>
      <c r="I48" s="28">
        <f t="shared" si="1"/>
        <v>0.06818181818181818</v>
      </c>
      <c r="J48" s="28">
        <f t="shared" si="1"/>
        <v>0.11363636363636363</v>
      </c>
      <c r="K48" s="28">
        <f t="shared" si="1"/>
        <v>0.6590909090909091</v>
      </c>
      <c r="L48" s="28">
        <f t="shared" si="1"/>
        <v>0.25</v>
      </c>
      <c r="M48" s="28">
        <f t="shared" si="1"/>
        <v>0.11363636363636363</v>
      </c>
      <c r="N48" s="28">
        <f t="shared" si="1"/>
        <v>0.045454545454545456</v>
      </c>
      <c r="O48" s="28">
        <f t="shared" si="1"/>
        <v>0.06818181818181818</v>
      </c>
      <c r="P48" s="28">
        <f t="shared" si="1"/>
        <v>0.11363636363636363</v>
      </c>
      <c r="Q48" s="28">
        <f t="shared" si="1"/>
        <v>0.22727272727272727</v>
      </c>
      <c r="R48" s="28">
        <f t="shared" si="1"/>
        <v>0</v>
      </c>
      <c r="S48" s="28">
        <f t="shared" si="1"/>
        <v>0.22727272727272727</v>
      </c>
      <c r="T48" s="28">
        <f t="shared" si="1"/>
        <v>0.022727272727272728</v>
      </c>
      <c r="U48" s="28">
        <f t="shared" si="1"/>
        <v>0.022727272727272728</v>
      </c>
      <c r="V48" s="28">
        <f t="shared" si="1"/>
        <v>0.11363636363636363</v>
      </c>
      <c r="W48" s="28">
        <f t="shared" si="1"/>
        <v>0.06818181818181818</v>
      </c>
      <c r="X48" s="28">
        <f t="shared" si="1"/>
        <v>0.045454545454545456</v>
      </c>
      <c r="Y48" s="28">
        <f>Y47/44</f>
        <v>0.022727272727272728</v>
      </c>
      <c r="Z48" s="28">
        <f>Z47/44</f>
        <v>0</v>
      </c>
      <c r="AA48" s="28">
        <f>AA47/44</f>
        <v>0.045454545454545456</v>
      </c>
      <c r="AB48" s="28">
        <f>AB47/44</f>
        <v>0.3181818181818182</v>
      </c>
    </row>
  </sheetData>
  <sheetProtection sheet="1" objects="1" scenarios="1"/>
  <mergeCells count="1">
    <mergeCell ref="C1:A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CI60"/>
  <sheetViews>
    <sheetView zoomScale="70" zoomScaleNormal="70" workbookViewId="0" topLeftCell="A1">
      <pane xSplit="2" ySplit="2" topLeftCell="R44" activePane="bottomRight" state="frozen"/>
      <selection pane="topRight" activeCell="B1" sqref="B1"/>
      <selection pane="bottomLeft" activeCell="A3" sqref="A3"/>
      <selection pane="bottomRight" activeCell="AD57" sqref="AD57"/>
    </sheetView>
  </sheetViews>
  <sheetFormatPr defaultColWidth="9.00390625" defaultRowHeight="15.75"/>
  <cols>
    <col min="2" max="2" width="19.875" style="0" customWidth="1"/>
    <col min="3" max="3" width="21.00390625" style="0" hidden="1" customWidth="1"/>
    <col min="4" max="4" width="9.00390625" style="0" hidden="1" customWidth="1"/>
    <col min="5" max="5" width="14.125" style="0" customWidth="1"/>
    <col min="6" max="6" width="11.875" style="0" customWidth="1"/>
    <col min="7" max="8" width="16.00390625" style="0" bestFit="1" customWidth="1"/>
    <col min="9" max="9" width="11.50390625" style="0" bestFit="1" customWidth="1"/>
    <col min="10" max="10" width="30.00390625" style="0" bestFit="1" customWidth="1"/>
    <col min="11" max="11" width="25.625" style="0" bestFit="1" customWidth="1"/>
    <col min="12" max="12" width="20.00390625" style="0" bestFit="1" customWidth="1"/>
    <col min="13" max="14" width="16.00390625" style="0" bestFit="1" customWidth="1"/>
    <col min="15" max="15" width="17.75390625" style="0" bestFit="1" customWidth="1"/>
    <col min="16" max="17" width="9.00390625" style="0" customWidth="1"/>
    <col min="18" max="18" width="16.00390625" style="0" bestFit="1" customWidth="1"/>
    <col min="19" max="19" width="13.50390625" style="0" customWidth="1"/>
    <col min="20" max="21" width="16.00390625" style="0" bestFit="1" customWidth="1"/>
    <col min="22" max="22" width="9.00390625" style="0" customWidth="1"/>
    <col min="24" max="26" width="16.00390625" style="0" bestFit="1" customWidth="1"/>
    <col min="28" max="29" width="9.00390625" style="0" customWidth="1"/>
    <col min="31" max="32" width="9.00390625" style="0" customWidth="1"/>
    <col min="34" max="35" width="9.00390625" style="0" customWidth="1"/>
    <col min="37" max="39" width="9.00390625" style="0" customWidth="1"/>
    <col min="41" max="43" width="9.00390625" style="0" customWidth="1"/>
    <col min="45" max="47" width="9.00390625" style="0" customWidth="1"/>
    <col min="49" max="51" width="9.00390625" style="0" customWidth="1"/>
    <col min="53" max="55" width="9.00390625" style="0" customWidth="1"/>
    <col min="56" max="56" width="12.375" style="0" customWidth="1"/>
    <col min="57" max="58" width="9.00390625" style="0" customWidth="1"/>
    <col min="60" max="61" width="9.00390625" style="0" customWidth="1"/>
    <col min="66" max="68" width="9.00390625" style="0" customWidth="1"/>
    <col min="70" max="71" width="9.00390625" style="0" customWidth="1"/>
    <col min="73" max="75" width="9.00390625" style="0" customWidth="1"/>
    <col min="77" max="78" width="9.00390625" style="0" customWidth="1"/>
    <col min="80" max="81" width="9.00390625" style="0" customWidth="1"/>
  </cols>
  <sheetData>
    <row r="1" spans="3:81" ht="48" customHeight="1">
      <c r="C1" s="189" t="s">
        <v>183</v>
      </c>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row>
    <row r="2" spans="1:81" s="94" customFormat="1" ht="82.8">
      <c r="A2" s="86" t="s">
        <v>367</v>
      </c>
      <c r="B2" s="83" t="s">
        <v>2</v>
      </c>
      <c r="C2" s="84" t="s">
        <v>148</v>
      </c>
      <c r="D2" s="85" t="s">
        <v>359</v>
      </c>
      <c r="E2" s="86" t="s">
        <v>358</v>
      </c>
      <c r="F2" s="85" t="s">
        <v>375</v>
      </c>
      <c r="G2" s="85" t="s">
        <v>364</v>
      </c>
      <c r="H2" s="85" t="s">
        <v>365</v>
      </c>
      <c r="I2" s="86" t="s">
        <v>119</v>
      </c>
      <c r="J2" s="85" t="s">
        <v>359</v>
      </c>
      <c r="K2" s="86" t="s">
        <v>171</v>
      </c>
      <c r="L2" s="85" t="s">
        <v>375</v>
      </c>
      <c r="M2" s="85" t="s">
        <v>364</v>
      </c>
      <c r="N2" s="85" t="s">
        <v>365</v>
      </c>
      <c r="O2" s="86" t="s">
        <v>112</v>
      </c>
      <c r="P2" s="85" t="s">
        <v>375</v>
      </c>
      <c r="Q2" s="85" t="s">
        <v>364</v>
      </c>
      <c r="R2" s="85" t="s">
        <v>365</v>
      </c>
      <c r="S2" s="86" t="s">
        <v>125</v>
      </c>
      <c r="T2" s="85" t="s">
        <v>375</v>
      </c>
      <c r="U2" s="85" t="s">
        <v>364</v>
      </c>
      <c r="V2" s="85" t="s">
        <v>365</v>
      </c>
      <c r="W2" s="86" t="s">
        <v>172</v>
      </c>
      <c r="X2" s="85" t="s">
        <v>375</v>
      </c>
      <c r="Y2" s="85" t="s">
        <v>364</v>
      </c>
      <c r="Z2" s="85" t="s">
        <v>365</v>
      </c>
      <c r="AA2" s="86" t="s">
        <v>173</v>
      </c>
      <c r="AB2" s="85" t="s">
        <v>375</v>
      </c>
      <c r="AC2" s="85" t="s">
        <v>364</v>
      </c>
      <c r="AD2" s="86" t="s">
        <v>115</v>
      </c>
      <c r="AE2" s="85" t="s">
        <v>375</v>
      </c>
      <c r="AF2" s="85" t="s">
        <v>364</v>
      </c>
      <c r="AG2" s="86" t="s">
        <v>134</v>
      </c>
      <c r="AH2" s="85" t="s">
        <v>375</v>
      </c>
      <c r="AI2" s="85" t="s">
        <v>364</v>
      </c>
      <c r="AJ2" s="86" t="s">
        <v>143</v>
      </c>
      <c r="AK2" s="85" t="s">
        <v>375</v>
      </c>
      <c r="AL2" s="85" t="s">
        <v>364</v>
      </c>
      <c r="AM2" s="85" t="s">
        <v>365</v>
      </c>
      <c r="AN2" s="86" t="s">
        <v>117</v>
      </c>
      <c r="AO2" s="85" t="s">
        <v>375</v>
      </c>
      <c r="AP2" s="85" t="s">
        <v>364</v>
      </c>
      <c r="AQ2" s="85" t="s">
        <v>365</v>
      </c>
      <c r="AR2" s="86" t="s">
        <v>121</v>
      </c>
      <c r="AS2" s="85" t="s">
        <v>375</v>
      </c>
      <c r="AT2" s="85" t="s">
        <v>364</v>
      </c>
      <c r="AU2" s="85" t="s">
        <v>365</v>
      </c>
      <c r="AV2" s="86" t="s">
        <v>128</v>
      </c>
      <c r="AW2" s="85" t="s">
        <v>375</v>
      </c>
      <c r="AX2" s="85" t="s">
        <v>364</v>
      </c>
      <c r="AY2" s="85" t="s">
        <v>365</v>
      </c>
      <c r="AZ2" s="86" t="s">
        <v>145</v>
      </c>
      <c r="BA2" s="85" t="s">
        <v>375</v>
      </c>
      <c r="BB2" s="85" t="s">
        <v>364</v>
      </c>
      <c r="BC2" s="85" t="s">
        <v>365</v>
      </c>
      <c r="BD2" s="86" t="s">
        <v>136</v>
      </c>
      <c r="BE2" s="85" t="s">
        <v>375</v>
      </c>
      <c r="BF2" s="85" t="s">
        <v>364</v>
      </c>
      <c r="BG2" s="86" t="s">
        <v>140</v>
      </c>
      <c r="BH2" s="85" t="s">
        <v>375</v>
      </c>
      <c r="BI2" s="85" t="s">
        <v>364</v>
      </c>
      <c r="BJ2" s="86" t="s">
        <v>345</v>
      </c>
      <c r="BK2" s="85" t="s">
        <v>375</v>
      </c>
      <c r="BL2" s="85" t="s">
        <v>364</v>
      </c>
      <c r="BM2" s="86" t="s">
        <v>138</v>
      </c>
      <c r="BN2" s="85" t="s">
        <v>375</v>
      </c>
      <c r="BO2" s="85" t="s">
        <v>364</v>
      </c>
      <c r="BP2" s="85" t="s">
        <v>365</v>
      </c>
      <c r="BQ2" s="86" t="s">
        <v>174</v>
      </c>
      <c r="BR2" s="85" t="s">
        <v>375</v>
      </c>
      <c r="BS2" s="85" t="s">
        <v>364</v>
      </c>
      <c r="BT2" s="86" t="s">
        <v>152</v>
      </c>
      <c r="BU2" s="85" t="s">
        <v>452</v>
      </c>
      <c r="BV2" s="85" t="s">
        <v>364</v>
      </c>
      <c r="BW2" s="85" t="s">
        <v>365</v>
      </c>
      <c r="BX2" s="86" t="s">
        <v>154</v>
      </c>
      <c r="BY2" s="85" t="s">
        <v>375</v>
      </c>
      <c r="BZ2" s="85" t="s">
        <v>364</v>
      </c>
      <c r="CA2" s="86" t="s">
        <v>83</v>
      </c>
      <c r="CB2" s="85" t="s">
        <v>375</v>
      </c>
      <c r="CC2" s="85" t="s">
        <v>364</v>
      </c>
    </row>
    <row r="3" spans="1:87" ht="93">
      <c r="A3" s="1" t="s">
        <v>11</v>
      </c>
      <c r="B3" s="19" t="s">
        <v>12</v>
      </c>
      <c r="C3" s="20" t="str">
        <f>IF(ISNUMBER(SEARCH("Industry (unspecific)",'Data extraction-synthesis'!M2)),"X","")</f>
        <v/>
      </c>
      <c r="D3" s="20"/>
      <c r="E3" s="20" t="str">
        <f aca="true" t="shared" si="0" ref="E3:E46">IF(OR(C3="X",I3="X"),"X","")</f>
        <v/>
      </c>
      <c r="F3" s="20"/>
      <c r="G3" s="20"/>
      <c r="H3" s="20"/>
      <c r="I3" s="20" t="str">
        <f>IF(ISNUMBER(SEARCH("Test developers",'Data extraction-synthesis'!M2)),"X","")</f>
        <v/>
      </c>
      <c r="J3" s="20"/>
      <c r="K3" s="20" t="str">
        <f>IF(ISNUMBER(SEARCH("Academia/researchers",'Data extraction-synthesis'!M2)),"X","")</f>
        <v>X</v>
      </c>
      <c r="L3" s="68" t="s">
        <v>361</v>
      </c>
      <c r="M3" s="68"/>
      <c r="N3" s="68"/>
      <c r="O3" s="20" t="str">
        <f>IF(ISNUMBER(SEARCH("Clinicians",'Data extraction-synthesis'!M2)),"X","")</f>
        <v/>
      </c>
      <c r="P3" s="20"/>
      <c r="Q3" s="20"/>
      <c r="R3" s="20"/>
      <c r="S3" s="20" t="str">
        <f>IF(ISNUMBER(SEARCH("Representatives of countries and national disease programs",'Data extraction-synthesis'!M2)),"X","")</f>
        <v/>
      </c>
      <c r="T3" s="20"/>
      <c r="U3" s="20"/>
      <c r="V3" s="20"/>
      <c r="W3" s="20" t="str">
        <f>IF(ISNUMBER(SEARCH("International/public health institution ",'Data extraction-synthesis'!M2)),"X","")</f>
        <v>X</v>
      </c>
      <c r="X3" s="20" t="s">
        <v>361</v>
      </c>
      <c r="Y3" s="20"/>
      <c r="Z3" s="20"/>
      <c r="AA3" s="20" t="str">
        <f>IF(ISNUMBER(SEARCH("Experts (unspecific)",'Data extraction-synthesis'!M2)),"X","")</f>
        <v/>
      </c>
      <c r="AB3" s="20"/>
      <c r="AC3" s="20"/>
      <c r="AD3" s="20" t="str">
        <f>IF(ISNUMBER(SEARCH("Laboratory experts",'Data extraction-synthesis'!M2)),"X","")</f>
        <v/>
      </c>
      <c r="AE3" s="20"/>
      <c r="AF3" s="20"/>
      <c r="AG3" s="20" t="str">
        <f>IF(ISNUMBER(SEARCH("Non-profit sector",'Data extraction-synthesis'!M2)),"X","")</f>
        <v/>
      </c>
      <c r="AH3" s="20"/>
      <c r="AI3" s="20"/>
      <c r="AJ3" s="20" t="str">
        <f>IF(ISNUMBER(SEARCH("Technical/funding agencies",'Data extraction-synthesis'!M2)),"X","")</f>
        <v/>
      </c>
      <c r="AK3" s="20"/>
      <c r="AL3" s="20"/>
      <c r="AM3" s="20"/>
      <c r="AN3" s="20" t="str">
        <f>IF(ISNUMBER(SEARCH("Policy makers",'Data extraction-synthesis'!M2)),"X","")</f>
        <v/>
      </c>
      <c r="AO3" s="20"/>
      <c r="AP3" s="20"/>
      <c r="AQ3" s="20"/>
      <c r="AR3" s="20" t="str">
        <f>IF(ISNUMBER(SEARCH("Implementers",'Data extraction-synthesis'!M2)),"X","")</f>
        <v/>
      </c>
      <c r="AS3" s="20"/>
      <c r="AT3" s="20"/>
      <c r="AU3" s="20"/>
      <c r="AV3" s="20" t="str">
        <f>IF(ISNUMBER(SEARCH("Patient/community advocates",'Data extraction-synthesis'!M2)),"X","")</f>
        <v/>
      </c>
      <c r="AW3" s="20"/>
      <c r="AX3" s="20"/>
      <c r="AY3" s="20"/>
      <c r="AZ3" s="20" t="str">
        <f>IF(ISNUMBER(SEARCH("Microbiologists",'Data extraction-synthesis'!M2)),"X","")</f>
        <v/>
      </c>
      <c r="BA3" s="20"/>
      <c r="BB3" s="20"/>
      <c r="BC3" s="20"/>
      <c r="BD3" s="20" t="str">
        <f>IF(ISNUMBER(SEARCH("Modelers",'Data extraction-synthesis'!M2)),"X","")</f>
        <v/>
      </c>
      <c r="BE3" s="20"/>
      <c r="BF3" s="20"/>
      <c r="BG3" s="20" t="str">
        <f>IF(ISNUMBER(SEARCH("Health economists",'Data extraction-synthesis'!M2)),"X","")</f>
        <v/>
      </c>
      <c r="BH3" s="20" t="str">
        <f>IF(ISNUMBER(SEARCH("Health economists",#REF!)),"X","")</f>
        <v/>
      </c>
      <c r="BI3" s="20"/>
      <c r="BJ3" s="20" t="str">
        <f>IF(ISNUMBER(SEARCH("Donors",'Data extraction-synthesis'!M2)),"X","")</f>
        <v/>
      </c>
      <c r="BK3" s="20"/>
      <c r="BL3" s="20"/>
      <c r="BM3" s="20" t="str">
        <f>IF(ISNUMBER(SEARCH("Market experts",'Data extraction-synthesis'!M2)),"X","")</f>
        <v/>
      </c>
      <c r="BN3" s="20"/>
      <c r="BO3" s="20"/>
      <c r="BP3" s="20"/>
      <c r="BQ3" s="20" t="str">
        <f>IF(ISNUMBER(SEARCH("Program manager",'Data extraction-synthesis'!M2)),"X","")</f>
        <v/>
      </c>
      <c r="BR3" s="20"/>
      <c r="BS3" s="20"/>
      <c r="BT3" s="20" t="str">
        <f>IF(ISNUMBER(SEARCH("Scientific associations",'Data extraction-synthesis'!M2)),"X","")</f>
        <v>X</v>
      </c>
      <c r="BU3" s="20" t="s">
        <v>361</v>
      </c>
      <c r="BV3" s="20"/>
      <c r="BW3" s="20"/>
      <c r="BX3" s="20" t="str">
        <f>IF(ISNUMBER(SEARCH("Strategists",'Data extraction-synthesis'!M2)),"X","")</f>
        <v/>
      </c>
      <c r="BY3" s="20"/>
      <c r="BZ3" s="20"/>
      <c r="CA3" s="20" t="str">
        <f>IF(ISNUMBER(SEARCH("Other",'Data extraction-synthesis'!M2)),"X","")</f>
        <v/>
      </c>
      <c r="CB3" s="20"/>
      <c r="CC3" s="20"/>
      <c r="CI3" t="s">
        <v>361</v>
      </c>
    </row>
    <row r="4" spans="1:87" ht="180.75" customHeight="1">
      <c r="A4" s="1" t="s">
        <v>19</v>
      </c>
      <c r="B4" s="19" t="s">
        <v>20</v>
      </c>
      <c r="C4" s="20" t="str">
        <f>IF(ISNUMBER(SEARCH("Industry (unspecific)",'Data extraction-synthesis'!M3)),"X","")</f>
        <v/>
      </c>
      <c r="D4" s="20">
        <v>1</v>
      </c>
      <c r="E4" s="20" t="str">
        <f t="shared" si="0"/>
        <v>X</v>
      </c>
      <c r="F4" s="20" t="s">
        <v>360</v>
      </c>
      <c r="G4" s="20"/>
      <c r="H4" s="20"/>
      <c r="I4" s="20" t="str">
        <f>IF(ISNUMBER(SEARCH("Test developers",'Data extraction-synthesis'!M3)),"X","")</f>
        <v>X</v>
      </c>
      <c r="J4" s="20"/>
      <c r="K4" s="20" t="str">
        <f>IF(ISNUMBER(SEARCH("Academia/researchers",'Data extraction-synthesis'!M3)),"X","")</f>
        <v>X</v>
      </c>
      <c r="L4" s="20" t="s">
        <v>360</v>
      </c>
      <c r="M4" s="20"/>
      <c r="N4" s="20"/>
      <c r="O4" s="20" t="str">
        <f>IF(ISNUMBER(SEARCH("Clinicians",'Data extraction-synthesis'!M3)),"X","")</f>
        <v>X</v>
      </c>
      <c r="P4" s="20" t="s">
        <v>360</v>
      </c>
      <c r="Q4" s="20" t="s">
        <v>362</v>
      </c>
      <c r="R4" s="20" t="s">
        <v>361</v>
      </c>
      <c r="S4" s="20" t="str">
        <f>IF(ISNUMBER(SEARCH("Representatives of countries and national disease programs",'Data extraction-synthesis'!M3)),"X","")</f>
        <v>X</v>
      </c>
      <c r="T4" s="81" t="s">
        <v>362</v>
      </c>
      <c r="U4" s="20"/>
      <c r="V4" s="20"/>
      <c r="W4" s="20" t="str">
        <f>IF(ISNUMBER(SEARCH("International/public health institution ",'Data extraction-synthesis'!M3)),"X","")</f>
        <v/>
      </c>
      <c r="X4" s="20"/>
      <c r="Y4" s="20"/>
      <c r="Z4" s="20"/>
      <c r="AA4" s="20" t="str">
        <f>IF(ISNUMBER(SEARCH("Experts (unspecific)",'Data extraction-synthesis'!M3)),"X","")</f>
        <v/>
      </c>
      <c r="AB4" s="20"/>
      <c r="AC4" s="20"/>
      <c r="AD4" s="20" t="str">
        <f>IF(ISNUMBER(SEARCH("Laboratory experts",'Data extraction-synthesis'!M3)),"X","")</f>
        <v>X</v>
      </c>
      <c r="AE4" s="20" t="s">
        <v>360</v>
      </c>
      <c r="AF4" s="20" t="s">
        <v>361</v>
      </c>
      <c r="AG4" s="20" t="str">
        <f>IF(ISNUMBER(SEARCH("Non-profit sector",'Data extraction-synthesis'!M3)),"X","")</f>
        <v/>
      </c>
      <c r="AH4" s="20"/>
      <c r="AI4" s="20"/>
      <c r="AJ4" s="20" t="str">
        <f>IF(ISNUMBER(SEARCH("Technical/funding agencies",'Data extraction-synthesis'!M3)),"X","")</f>
        <v/>
      </c>
      <c r="AK4" s="20"/>
      <c r="AL4" s="20"/>
      <c r="AM4" s="20"/>
      <c r="AN4" s="20" t="str">
        <f>IF(ISNUMBER(SEARCH("Policy makers",'Data extraction-synthesis'!M3)),"X","")</f>
        <v>X</v>
      </c>
      <c r="AO4" s="81" t="s">
        <v>362</v>
      </c>
      <c r="AP4" s="20"/>
      <c r="AQ4" s="20"/>
      <c r="AR4" s="20" t="str">
        <f>IF(ISNUMBER(SEARCH("Implementers",'Data extraction-synthesis'!M3)),"X","")</f>
        <v>X</v>
      </c>
      <c r="AS4" s="81" t="s">
        <v>362</v>
      </c>
      <c r="AT4" s="20"/>
      <c r="AU4" s="20"/>
      <c r="AV4" s="20" t="str">
        <f>IF(ISNUMBER(SEARCH("Patient/community advocates",'Data extraction-synthesis'!M3)),"X","")</f>
        <v/>
      </c>
      <c r="AW4" s="20"/>
      <c r="AX4" s="20"/>
      <c r="AY4" s="20"/>
      <c r="AZ4" s="20" t="str">
        <f>IF(ISNUMBER(SEARCH("Microbiologists",'Data extraction-synthesis'!M3)),"X","")</f>
        <v/>
      </c>
      <c r="BA4" s="20"/>
      <c r="BB4" s="20"/>
      <c r="BC4" s="20"/>
      <c r="BD4" s="20" t="str">
        <f>IF(ISNUMBER(SEARCH("Modelers",'Data extraction-synthesis'!M3)),"X","")</f>
        <v/>
      </c>
      <c r="BE4" s="20"/>
      <c r="BF4" s="20"/>
      <c r="BG4" s="20" t="str">
        <f>IF(ISNUMBER(SEARCH("Health economists",'Data extraction-synthesis'!M3)),"X","")</f>
        <v/>
      </c>
      <c r="BH4" s="20"/>
      <c r="BI4" s="20"/>
      <c r="BJ4" s="20" t="str">
        <f>IF(ISNUMBER(SEARCH("Donors",'Data extraction-synthesis'!M3)),"X","")</f>
        <v/>
      </c>
      <c r="BK4" s="20"/>
      <c r="BL4" s="20"/>
      <c r="BM4" s="20" t="str">
        <f>IF(ISNUMBER(SEARCH("Market experts",'Data extraction-synthesis'!M3)),"X","")</f>
        <v/>
      </c>
      <c r="BN4" s="20"/>
      <c r="BO4" s="20"/>
      <c r="BP4" s="20"/>
      <c r="BQ4" s="20" t="str">
        <f>IF(ISNUMBER(SEARCH("Program manager",'Data extraction-synthesis'!M3)),"X","")</f>
        <v/>
      </c>
      <c r="BR4" s="20"/>
      <c r="BS4" s="20"/>
      <c r="BT4" s="20" t="str">
        <f>IF(ISNUMBER(SEARCH("Scientific associations",'Data extraction-synthesis'!M3)),"X","")</f>
        <v/>
      </c>
      <c r="BU4" s="20"/>
      <c r="BV4" s="20"/>
      <c r="BW4" s="20"/>
      <c r="BX4" s="20" t="str">
        <f>IF(ISNUMBER(SEARCH("Strategists",'Data extraction-synthesis'!M3)),"X","")</f>
        <v/>
      </c>
      <c r="BY4" s="20"/>
      <c r="BZ4" s="20"/>
      <c r="CA4" s="20" t="str">
        <f>IF(ISNUMBER(SEARCH("Other",'Data extraction-synthesis'!M3)),"X","")</f>
        <v/>
      </c>
      <c r="CB4" s="20"/>
      <c r="CC4" s="20"/>
      <c r="CI4" t="s">
        <v>360</v>
      </c>
    </row>
    <row r="5" spans="1:87" ht="43.5" customHeight="1">
      <c r="A5" s="1" t="s">
        <v>22</v>
      </c>
      <c r="B5" s="2" t="s">
        <v>23</v>
      </c>
      <c r="C5" s="20" t="str">
        <f>IF(ISNUMBER(SEARCH("Industry (unspecific)",'Data extraction-synthesis'!M4)),"X","")</f>
        <v/>
      </c>
      <c r="D5" s="20"/>
      <c r="E5" s="20" t="str">
        <f t="shared" si="0"/>
        <v>X</v>
      </c>
      <c r="F5" s="20" t="s">
        <v>361</v>
      </c>
      <c r="G5" s="81" t="s">
        <v>362</v>
      </c>
      <c r="H5" s="20"/>
      <c r="I5" s="20" t="str">
        <f>IF(ISNUMBER(SEARCH("Test developers",'Data extraction-synthesis'!M4)),"X","")</f>
        <v>X</v>
      </c>
      <c r="J5" s="20"/>
      <c r="K5" s="20" t="str">
        <f>IF(ISNUMBER(SEARCH("Academia/researchers",'Data extraction-synthesis'!M4)),"X","")</f>
        <v>X</v>
      </c>
      <c r="L5" s="20" t="s">
        <v>360</v>
      </c>
      <c r="M5" s="20" t="s">
        <v>361</v>
      </c>
      <c r="N5" s="20"/>
      <c r="O5" s="20" t="str">
        <f>IF(ISNUMBER(SEARCH("Clinicians",'Data extraction-synthesis'!M4)),"X","")</f>
        <v>X</v>
      </c>
      <c r="P5" s="20" t="s">
        <v>360</v>
      </c>
      <c r="Q5" s="20" t="s">
        <v>361</v>
      </c>
      <c r="R5" s="20" t="s">
        <v>362</v>
      </c>
      <c r="S5" s="20" t="str">
        <f>IF(ISNUMBER(SEARCH("Representatives of countries and national disease programs",'Data extraction-synthesis'!M4)),"X","")</f>
        <v>X</v>
      </c>
      <c r="T5" s="20" t="s">
        <v>360</v>
      </c>
      <c r="U5" s="81" t="s">
        <v>362</v>
      </c>
      <c r="V5" s="20"/>
      <c r="W5" s="20" t="str">
        <f>IF(ISNUMBER(SEARCH("International/public health institution ",'Data extraction-synthesis'!M4)),"X","")</f>
        <v/>
      </c>
      <c r="X5" s="20"/>
      <c r="Y5" s="20"/>
      <c r="Z5" s="20"/>
      <c r="AA5" s="20" t="str">
        <f>IF(ISNUMBER(SEARCH("Experts (unspecific)",'Data extraction-synthesis'!M4)),"X","")</f>
        <v/>
      </c>
      <c r="AB5" s="20"/>
      <c r="AC5" s="20"/>
      <c r="AD5" s="20" t="str">
        <f>IF(ISNUMBER(SEARCH("Laboratory experts",'Data extraction-synthesis'!M4)),"X","")</f>
        <v>X</v>
      </c>
      <c r="AE5" s="20" t="s">
        <v>360</v>
      </c>
      <c r="AF5" s="20"/>
      <c r="AG5" s="20" t="str">
        <f>IF(ISNUMBER(SEARCH("Non-profit sector",'Data extraction-synthesis'!M4)),"X","")</f>
        <v/>
      </c>
      <c r="AH5" s="20"/>
      <c r="AI5" s="20"/>
      <c r="AJ5" s="20" t="str">
        <f>IF(ISNUMBER(SEARCH("Technical/funding agencies",'Data extraction-synthesis'!M4)),"X","")</f>
        <v>X</v>
      </c>
      <c r="AK5" s="20" t="s">
        <v>361</v>
      </c>
      <c r="AL5" s="20"/>
      <c r="AM5" s="20"/>
      <c r="AN5" s="20" t="str">
        <f>IF(ISNUMBER(SEARCH("Policy makers",'Data extraction-synthesis'!M4)),"X","")</f>
        <v>X</v>
      </c>
      <c r="AO5" s="20" t="s">
        <v>361</v>
      </c>
      <c r="AP5" s="20"/>
      <c r="AQ5" s="20"/>
      <c r="AR5" s="20" t="str">
        <f>IF(ISNUMBER(SEARCH("Implementers",'Data extraction-synthesis'!M4)),"X","")</f>
        <v/>
      </c>
      <c r="AS5" s="20"/>
      <c r="AT5" s="20"/>
      <c r="AU5" s="20"/>
      <c r="AV5" s="20" t="str">
        <f>IF(ISNUMBER(SEARCH("Patient/community advocates",'Data extraction-synthesis'!M4)),"X","")</f>
        <v>X</v>
      </c>
      <c r="AW5" s="20" t="s">
        <v>360</v>
      </c>
      <c r="AX5" s="20"/>
      <c r="AY5" s="20"/>
      <c r="AZ5" s="20" t="str">
        <f>IF(ISNUMBER(SEARCH("Microbiologists",'Data extraction-synthesis'!M4)),"X","")</f>
        <v/>
      </c>
      <c r="BA5" s="20"/>
      <c r="BB5" s="20"/>
      <c r="BC5" s="20"/>
      <c r="BD5" s="20" t="str">
        <f>IF(ISNUMBER(SEARCH("Modelers",'Data extraction-synthesis'!M4)),"X","")</f>
        <v>X</v>
      </c>
      <c r="BE5" s="20" t="s">
        <v>360</v>
      </c>
      <c r="BF5" s="20"/>
      <c r="BG5" s="20" t="str">
        <f>IF(ISNUMBER(SEARCH("Health economists",'Data extraction-synthesis'!M4)),"X","")</f>
        <v/>
      </c>
      <c r="BH5" s="20"/>
      <c r="BI5" s="20"/>
      <c r="BJ5" s="20" t="str">
        <f>IF(ISNUMBER(SEARCH("Donors",'Data extraction-synthesis'!M4)),"X","")</f>
        <v/>
      </c>
      <c r="BK5" s="20"/>
      <c r="BL5" s="20"/>
      <c r="BM5" s="20" t="str">
        <f>IF(ISNUMBER(SEARCH("Market experts",'Data extraction-synthesis'!M4)),"X","")</f>
        <v>X</v>
      </c>
      <c r="BN5" s="76" t="s">
        <v>360</v>
      </c>
      <c r="BO5" s="76"/>
      <c r="BP5" s="76"/>
      <c r="BQ5" s="20" t="str">
        <f>IF(ISNUMBER(SEARCH("Program manager",'Data extraction-synthesis'!M4)),"X","")</f>
        <v/>
      </c>
      <c r="BR5" s="20"/>
      <c r="BS5" s="20"/>
      <c r="BT5" s="20" t="str">
        <f>IF(ISNUMBER(SEARCH("Scientific associations",'Data extraction-synthesis'!M4)),"X","")</f>
        <v/>
      </c>
      <c r="BU5" s="20"/>
      <c r="BV5" s="20"/>
      <c r="BW5" s="20"/>
      <c r="BX5" s="20" t="str">
        <f>IF(ISNUMBER(SEARCH("Strategists",'Data extraction-synthesis'!M4)),"X","")</f>
        <v/>
      </c>
      <c r="BY5" s="20"/>
      <c r="BZ5" s="20"/>
      <c r="CA5" s="20" t="str">
        <f>IF(ISNUMBER(SEARCH("Other",'Data extraction-synthesis'!M4)),"X","")</f>
        <v/>
      </c>
      <c r="CB5" s="20"/>
      <c r="CC5" s="20"/>
      <c r="CI5" t="s">
        <v>362</v>
      </c>
    </row>
    <row r="6" spans="1:81" ht="79.8">
      <c r="A6" s="3" t="s">
        <v>25</v>
      </c>
      <c r="B6" s="2" t="s">
        <v>26</v>
      </c>
      <c r="C6" s="20" t="str">
        <f>IF(ISNUMBER(SEARCH("Industry (unspecific)",'Data extraction-synthesis'!M5)),"X","")</f>
        <v/>
      </c>
      <c r="D6" s="20"/>
      <c r="E6" s="20" t="str">
        <f t="shared" si="0"/>
        <v/>
      </c>
      <c r="F6" s="20"/>
      <c r="G6" s="20"/>
      <c r="H6" s="20"/>
      <c r="I6" s="20" t="str">
        <f>IF(ISNUMBER(SEARCH("Test developers",'Data extraction-synthesis'!M5)),"X","")</f>
        <v/>
      </c>
      <c r="J6" s="20"/>
      <c r="K6" s="20" t="str">
        <f>IF(ISNUMBER(SEARCH("Academia/researchers",'Data extraction-synthesis'!M5)),"X","")</f>
        <v/>
      </c>
      <c r="L6" s="20"/>
      <c r="M6" s="20"/>
      <c r="N6" s="20"/>
      <c r="O6" s="20" t="str">
        <f>IF(ISNUMBER(SEARCH("Clinicians",'Data extraction-synthesis'!M5)),"X","")</f>
        <v/>
      </c>
      <c r="P6" s="20"/>
      <c r="Q6" s="20"/>
      <c r="R6" s="20"/>
      <c r="S6" s="20" t="str">
        <f>IF(ISNUMBER(SEARCH("Representatives of countries and national disease programs",'Data extraction-synthesis'!M5)),"X","")</f>
        <v/>
      </c>
      <c r="T6" s="20"/>
      <c r="U6" s="20"/>
      <c r="V6" s="20"/>
      <c r="W6" s="20" t="str">
        <f>IF(ISNUMBER(SEARCH("International/public health institution ",'Data extraction-synthesis'!M5)),"X","")</f>
        <v/>
      </c>
      <c r="X6" s="20"/>
      <c r="Y6" s="20"/>
      <c r="Z6" s="20"/>
      <c r="AA6" s="20" t="str">
        <f>IF(ISNUMBER(SEARCH("Experts (unspecific)",'Data extraction-synthesis'!M5)),"X","")</f>
        <v/>
      </c>
      <c r="AB6" s="20"/>
      <c r="AC6" s="20"/>
      <c r="AD6" s="20" t="str">
        <f>IF(ISNUMBER(SEARCH("Laboratory experts",'Data extraction-synthesis'!M5)),"X","")</f>
        <v/>
      </c>
      <c r="AE6" s="20"/>
      <c r="AF6" s="20"/>
      <c r="AG6" s="20" t="str">
        <f>IF(ISNUMBER(SEARCH("Non-profit sector",'Data extraction-synthesis'!M5)),"X","")</f>
        <v/>
      </c>
      <c r="AH6" s="20"/>
      <c r="AI6" s="20"/>
      <c r="AJ6" s="20" t="str">
        <f>IF(ISNUMBER(SEARCH("Technical/funding agencies",'Data extraction-synthesis'!M5)),"X","")</f>
        <v/>
      </c>
      <c r="AK6" s="20"/>
      <c r="AL6" s="20"/>
      <c r="AM6" s="20"/>
      <c r="AN6" s="20" t="str">
        <f>IF(ISNUMBER(SEARCH("Policy makers",'Data extraction-synthesis'!M5)),"X","")</f>
        <v/>
      </c>
      <c r="AO6" s="20"/>
      <c r="AP6" s="20"/>
      <c r="AQ6" s="20"/>
      <c r="AR6" s="20" t="str">
        <f>IF(ISNUMBER(SEARCH("Implementers",'Data extraction-synthesis'!M5)),"X","")</f>
        <v/>
      </c>
      <c r="AS6" s="20"/>
      <c r="AT6" s="20"/>
      <c r="AU6" s="20"/>
      <c r="AV6" s="20" t="str">
        <f>IF(ISNUMBER(SEARCH("Patient/community advocates",'Data extraction-synthesis'!M5)),"X","")</f>
        <v/>
      </c>
      <c r="AW6" s="20"/>
      <c r="AX6" s="20"/>
      <c r="AY6" s="20"/>
      <c r="AZ6" s="20" t="str">
        <f>IF(ISNUMBER(SEARCH("Microbiologists",'Data extraction-synthesis'!M5)),"X","")</f>
        <v/>
      </c>
      <c r="BA6" s="20"/>
      <c r="BB6" s="20"/>
      <c r="BC6" s="20"/>
      <c r="BD6" s="20" t="str">
        <f>IF(ISNUMBER(SEARCH("Modelers",'Data extraction-synthesis'!M5)),"X","")</f>
        <v/>
      </c>
      <c r="BE6" s="20"/>
      <c r="BF6" s="20"/>
      <c r="BG6" s="20" t="str">
        <f>IF(ISNUMBER(SEARCH("Health economists",'Data extraction-synthesis'!M5)),"X","")</f>
        <v/>
      </c>
      <c r="BH6" s="20"/>
      <c r="BI6" s="20"/>
      <c r="BJ6" s="20" t="str">
        <f>IF(ISNUMBER(SEARCH("Donors",'Data extraction-synthesis'!M5)),"X","")</f>
        <v/>
      </c>
      <c r="BK6" s="20"/>
      <c r="BL6" s="20"/>
      <c r="BM6" s="20" t="str">
        <f>IF(ISNUMBER(SEARCH("Market experts",'Data extraction-synthesis'!M5)),"X","")</f>
        <v/>
      </c>
      <c r="BN6" s="20"/>
      <c r="BO6" s="20"/>
      <c r="BP6" s="20"/>
      <c r="BQ6" s="20" t="str">
        <f>IF(ISNUMBER(SEARCH("Program manager",'Data extraction-synthesis'!M5)),"X","")</f>
        <v/>
      </c>
      <c r="BR6" s="20"/>
      <c r="BS6" s="20"/>
      <c r="BT6" s="20" t="str">
        <f>IF(ISNUMBER(SEARCH("Scientific associations",'Data extraction-synthesis'!M5)),"X","")</f>
        <v/>
      </c>
      <c r="BU6" s="20"/>
      <c r="BV6" s="20"/>
      <c r="BW6" s="20"/>
      <c r="BX6" s="20" t="str">
        <f>IF(ISNUMBER(SEARCH("Strategists",'Data extraction-synthesis'!M5)),"X","")</f>
        <v/>
      </c>
      <c r="BY6" s="20"/>
      <c r="BZ6" s="20"/>
      <c r="CA6" s="20" t="str">
        <f>IF(ISNUMBER(SEARCH("Other",'Data extraction-synthesis'!M5)),"X","")</f>
        <v/>
      </c>
      <c r="CB6" s="20"/>
      <c r="CC6" s="20"/>
    </row>
    <row r="7" spans="1:81" ht="409.6">
      <c r="A7" s="1" t="s">
        <v>31</v>
      </c>
      <c r="B7" s="19" t="s">
        <v>32</v>
      </c>
      <c r="C7" s="20" t="str">
        <f>IF(ISNUMBER(SEARCH("Industry (unspecific)",'Data extraction-synthesis'!M6)),"X","")</f>
        <v/>
      </c>
      <c r="D7" s="20"/>
      <c r="E7" s="20" t="str">
        <f t="shared" si="0"/>
        <v/>
      </c>
      <c r="F7" s="20"/>
      <c r="G7" s="20"/>
      <c r="H7" s="20"/>
      <c r="I7" s="20" t="str">
        <f>IF(ISNUMBER(SEARCH("Test developers",'Data extraction-synthesis'!M6)),"X","")</f>
        <v/>
      </c>
      <c r="J7" s="20"/>
      <c r="K7" s="20" t="str">
        <f>IF(ISNUMBER(SEARCH("Academia/researchers",'Data extraction-synthesis'!M6)),"X","")</f>
        <v>X</v>
      </c>
      <c r="L7" s="20" t="s">
        <v>362</v>
      </c>
      <c r="M7" s="20" t="s">
        <v>360</v>
      </c>
      <c r="N7" s="20"/>
      <c r="O7" s="20" t="str">
        <f>IF(ISNUMBER(SEARCH("Clinicians",'Data extraction-synthesis'!M6)),"X","")</f>
        <v/>
      </c>
      <c r="P7" s="20"/>
      <c r="Q7" s="20"/>
      <c r="R7" s="20"/>
      <c r="S7" s="20" t="str">
        <f>IF(ISNUMBER(SEARCH("Representatives of countries and national disease programs",'Data extraction-synthesis'!M6)),"X","")</f>
        <v>X</v>
      </c>
      <c r="T7" s="20" t="s">
        <v>362</v>
      </c>
      <c r="U7" s="20" t="s">
        <v>360</v>
      </c>
      <c r="V7" s="20"/>
      <c r="W7" s="20" t="str">
        <f>IF(ISNUMBER(SEARCH("International/public health institution ",'Data extraction-synthesis'!M6)),"X","")</f>
        <v>X</v>
      </c>
      <c r="X7" s="20" t="s">
        <v>362</v>
      </c>
      <c r="Y7" s="20" t="s">
        <v>360</v>
      </c>
      <c r="Z7" s="20"/>
      <c r="AA7" s="20" t="str">
        <f>IF(ISNUMBER(SEARCH("Experts (unspecific)",'Data extraction-synthesis'!M6)),"X","")</f>
        <v/>
      </c>
      <c r="AB7" s="20"/>
      <c r="AC7" s="20"/>
      <c r="AD7" s="20" t="str">
        <f>IF(ISNUMBER(SEARCH("Laboratory experts",'Data extraction-synthesis'!M6)),"X","")</f>
        <v/>
      </c>
      <c r="AE7" s="20"/>
      <c r="AF7" s="20"/>
      <c r="AG7" s="20" t="str">
        <f>IF(ISNUMBER(SEARCH("Non-profit sector",'Data extraction-synthesis'!M6)),"X","")</f>
        <v/>
      </c>
      <c r="AH7" s="20"/>
      <c r="AI7" s="20"/>
      <c r="AJ7" s="20" t="str">
        <f>IF(ISNUMBER(SEARCH("Technical/funding agencies",'Data extraction-synthesis'!M6)),"X","")</f>
        <v/>
      </c>
      <c r="AK7" s="20"/>
      <c r="AL7" s="20"/>
      <c r="AM7" s="20"/>
      <c r="AN7" s="20" t="str">
        <f>IF(ISNUMBER(SEARCH("Policy makers",'Data extraction-synthesis'!M6)),"X","")</f>
        <v/>
      </c>
      <c r="AO7" s="20"/>
      <c r="AP7" s="20"/>
      <c r="AQ7" s="20"/>
      <c r="AR7" s="20" t="str">
        <f>IF(ISNUMBER(SEARCH("Implementers",'Data extraction-synthesis'!M6)),"X","")</f>
        <v/>
      </c>
      <c r="AS7" s="20"/>
      <c r="AT7" s="20"/>
      <c r="AU7" s="20"/>
      <c r="AV7" s="20" t="str">
        <f>IF(ISNUMBER(SEARCH("Patient/community advocates",'Data extraction-synthesis'!M6)),"X","")</f>
        <v/>
      </c>
      <c r="AW7" s="20"/>
      <c r="AX7" s="20"/>
      <c r="AY7" s="20"/>
      <c r="AZ7" s="20" t="str">
        <f>IF(ISNUMBER(SEARCH("Microbiologists",'Data extraction-synthesis'!M6)),"X","")</f>
        <v/>
      </c>
      <c r="BA7" s="20"/>
      <c r="BB7" s="20"/>
      <c r="BC7" s="20"/>
      <c r="BD7" s="20" t="str">
        <f>IF(ISNUMBER(SEARCH("Modelers",'Data extraction-synthesis'!M6)),"X","")</f>
        <v/>
      </c>
      <c r="BE7" s="20"/>
      <c r="BF7" s="20"/>
      <c r="BG7" s="20" t="str">
        <f>IF(ISNUMBER(SEARCH("Health economists",'Data extraction-synthesis'!M6)),"X","")</f>
        <v/>
      </c>
      <c r="BH7" s="20"/>
      <c r="BI7" s="20"/>
      <c r="BJ7" s="20" t="str">
        <f>IF(ISNUMBER(SEARCH("Donors",'Data extraction-synthesis'!M6)),"X","")</f>
        <v/>
      </c>
      <c r="BK7" s="20"/>
      <c r="BL7" s="20"/>
      <c r="BM7" s="20" t="str">
        <f>IF(ISNUMBER(SEARCH("Market experts",'Data extraction-synthesis'!M6)),"X","")</f>
        <v/>
      </c>
      <c r="BN7" s="20"/>
      <c r="BO7" s="20"/>
      <c r="BP7" s="20"/>
      <c r="BQ7" s="20" t="str">
        <f>IF(ISNUMBER(SEARCH("Program manager",'Data extraction-synthesis'!M6)),"X","")</f>
        <v/>
      </c>
      <c r="BR7" s="20"/>
      <c r="BS7" s="20"/>
      <c r="BT7" s="20" t="str">
        <f>IF(ISNUMBER(SEARCH("Scientific associations",'Data extraction-synthesis'!M6)),"X","")</f>
        <v/>
      </c>
      <c r="BU7" s="20"/>
      <c r="BV7" s="20"/>
      <c r="BW7" s="20"/>
      <c r="BX7" s="20" t="str">
        <f>IF(ISNUMBER(SEARCH("Strategists",'Data extraction-synthesis'!M6)),"X","")</f>
        <v/>
      </c>
      <c r="BY7" s="20"/>
      <c r="BZ7" s="20"/>
      <c r="CA7" s="20" t="str">
        <f>IF(ISNUMBER(SEARCH("Other",'Data extraction-synthesis'!M6)),"X","")</f>
        <v/>
      </c>
      <c r="CB7" s="20"/>
      <c r="CC7" s="20"/>
    </row>
    <row r="8" spans="1:81" ht="343.8">
      <c r="A8" s="1" t="s">
        <v>34</v>
      </c>
      <c r="B8" s="19" t="s">
        <v>35</v>
      </c>
      <c r="C8" s="20" t="str">
        <f>IF(ISNUMBER(SEARCH("Industry (unspecific)",'Data extraction-synthesis'!M7)),"X","")</f>
        <v/>
      </c>
      <c r="D8" s="20"/>
      <c r="E8" s="20" t="str">
        <f t="shared" si="0"/>
        <v>X</v>
      </c>
      <c r="F8" s="20" t="s">
        <v>361</v>
      </c>
      <c r="G8" s="20" t="s">
        <v>362</v>
      </c>
      <c r="H8" s="20"/>
      <c r="I8" s="20" t="str">
        <f>IF(ISNUMBER(SEARCH("Test developers",'Data extraction-synthesis'!M7)),"X","")</f>
        <v>X</v>
      </c>
      <c r="J8" s="20"/>
      <c r="K8" s="20" t="str">
        <f>IF(ISNUMBER(SEARCH("Academia/researchers",'Data extraction-synthesis'!M7)),"X","")</f>
        <v>X</v>
      </c>
      <c r="L8" s="20" t="s">
        <v>361</v>
      </c>
      <c r="M8" s="20" t="s">
        <v>362</v>
      </c>
      <c r="N8" s="20"/>
      <c r="O8" s="20" t="str">
        <f>IF(ISNUMBER(SEARCH("Clinicians",'Data extraction-synthesis'!M7)),"X","")</f>
        <v/>
      </c>
      <c r="P8" s="20"/>
      <c r="Q8" s="20"/>
      <c r="R8" s="20"/>
      <c r="S8" s="20" t="str">
        <f>IF(ISNUMBER(SEARCH("Representatives of countries and national disease programs",'Data extraction-synthesis'!M7)),"X","")</f>
        <v/>
      </c>
      <c r="T8" s="20"/>
      <c r="U8" s="20"/>
      <c r="V8" s="20"/>
      <c r="W8" s="20" t="str">
        <f>IF(ISNUMBER(SEARCH("International/public health institution ",'Data extraction-synthesis'!M7)),"X","")</f>
        <v>X</v>
      </c>
      <c r="X8" s="20" t="s">
        <v>361</v>
      </c>
      <c r="Y8" s="20" t="s">
        <v>362</v>
      </c>
      <c r="Z8" s="20"/>
      <c r="AA8" s="20" t="str">
        <f>IF(ISNUMBER(SEARCH("Experts (unspecific)",'Data extraction-synthesis'!M7)),"X","")</f>
        <v/>
      </c>
      <c r="AB8" s="20"/>
      <c r="AC8" s="20"/>
      <c r="AD8" s="20" t="str">
        <f>IF(ISNUMBER(SEARCH("Laboratory experts",'Data extraction-synthesis'!M7)),"X","")</f>
        <v>X</v>
      </c>
      <c r="AE8" s="20" t="s">
        <v>361</v>
      </c>
      <c r="AF8" s="20" t="s">
        <v>362</v>
      </c>
      <c r="AG8" s="20" t="str">
        <f>IF(ISNUMBER(SEARCH("Non-profit sector",'Data extraction-synthesis'!M7)),"X","")</f>
        <v/>
      </c>
      <c r="AH8" s="20"/>
      <c r="AI8" s="20"/>
      <c r="AJ8" s="20" t="str">
        <f>IF(ISNUMBER(SEARCH("Technical/funding agencies",'Data extraction-synthesis'!M7)),"X","")</f>
        <v/>
      </c>
      <c r="AK8" s="20"/>
      <c r="AL8" s="20"/>
      <c r="AM8" s="20"/>
      <c r="AN8" s="20" t="str">
        <f>IF(ISNUMBER(SEARCH("Policy makers",'Data extraction-synthesis'!M7)),"X","")</f>
        <v/>
      </c>
      <c r="AO8" s="20"/>
      <c r="AP8" s="20"/>
      <c r="AQ8" s="20"/>
      <c r="AR8" s="20" t="str">
        <f>IF(ISNUMBER(SEARCH("Implementers",'Data extraction-synthesis'!M7)),"X","")</f>
        <v/>
      </c>
      <c r="AS8" s="20"/>
      <c r="AT8" s="20"/>
      <c r="AU8" s="20"/>
      <c r="AV8" s="20" t="str">
        <f>IF(ISNUMBER(SEARCH("Patient/community advocates",'Data extraction-synthesis'!M7)),"X","")</f>
        <v/>
      </c>
      <c r="AW8" s="20"/>
      <c r="AX8" s="20"/>
      <c r="AY8" s="20"/>
      <c r="AZ8" s="20" t="str">
        <f>IF(ISNUMBER(SEARCH("Microbiologists",'Data extraction-synthesis'!M7)),"X","")</f>
        <v>X</v>
      </c>
      <c r="BA8" s="20" t="s">
        <v>361</v>
      </c>
      <c r="BB8" s="20"/>
      <c r="BC8" s="20" t="s">
        <v>362</v>
      </c>
      <c r="BD8" s="20" t="str">
        <f>IF(ISNUMBER(SEARCH("Modelers",'Data extraction-synthesis'!M7)),"X","")</f>
        <v/>
      </c>
      <c r="BE8" s="20"/>
      <c r="BF8" s="20"/>
      <c r="BG8" s="20" t="str">
        <f>IF(ISNUMBER(SEARCH("Health economists",'Data extraction-synthesis'!M7)),"X","")</f>
        <v>X</v>
      </c>
      <c r="BH8" s="20" t="s">
        <v>361</v>
      </c>
      <c r="BI8" s="20" t="s">
        <v>362</v>
      </c>
      <c r="BJ8" s="20" t="str">
        <f>IF(ISNUMBER(SEARCH("Donors",'Data extraction-synthesis'!M7)),"X","")</f>
        <v/>
      </c>
      <c r="BK8" s="20"/>
      <c r="BL8" s="20"/>
      <c r="BM8" s="20" t="str">
        <f>IF(ISNUMBER(SEARCH("Market experts",'Data extraction-synthesis'!M7)),"X","")</f>
        <v/>
      </c>
      <c r="BN8" s="20"/>
      <c r="BO8" s="20"/>
      <c r="BP8" s="20"/>
      <c r="BQ8" s="20" t="str">
        <f>IF(ISNUMBER(SEARCH("Program manager",'Data extraction-synthesis'!M7)),"X","")</f>
        <v/>
      </c>
      <c r="BR8" s="20"/>
      <c r="BS8" s="20"/>
      <c r="BT8" s="20" t="str">
        <f>IF(ISNUMBER(SEARCH("Scientific associations",'Data extraction-synthesis'!M7)),"X","")</f>
        <v/>
      </c>
      <c r="BU8" s="20"/>
      <c r="BV8" s="20"/>
      <c r="BW8" s="20"/>
      <c r="BX8" s="20" t="str">
        <f>IF(ISNUMBER(SEARCH("Strategists",'Data extraction-synthesis'!M7)),"X","")</f>
        <v/>
      </c>
      <c r="BY8" s="20"/>
      <c r="BZ8" s="20"/>
      <c r="CA8" s="20" t="str">
        <f>IF(ISNUMBER(SEARCH("Other",'Data extraction-synthesis'!M7)),"X","")</f>
        <v/>
      </c>
      <c r="CB8" s="20"/>
      <c r="CC8" s="20"/>
    </row>
    <row r="9" spans="1:81" ht="79.8">
      <c r="A9" s="1" t="s">
        <v>36</v>
      </c>
      <c r="B9" s="19" t="s">
        <v>37</v>
      </c>
      <c r="C9" s="20" t="str">
        <f>IF(ISNUMBER(SEARCH("Industry (unspecific)",'Data extraction-synthesis'!M8)),"X","")</f>
        <v/>
      </c>
      <c r="D9" s="20"/>
      <c r="E9" s="20" t="str">
        <f t="shared" si="0"/>
        <v>X</v>
      </c>
      <c r="F9" s="20" t="s">
        <v>362</v>
      </c>
      <c r="G9" s="20"/>
      <c r="H9" s="20"/>
      <c r="I9" s="20" t="str">
        <f>IF(ISNUMBER(SEARCH("Test developers",'Data extraction-synthesis'!M8)),"X","")</f>
        <v>X</v>
      </c>
      <c r="J9" s="20"/>
      <c r="K9" s="20" t="str">
        <f>IF(ISNUMBER(SEARCH("Academia/researchers",'Data extraction-synthesis'!M8)),"X","")</f>
        <v>X</v>
      </c>
      <c r="L9" s="20" t="s">
        <v>362</v>
      </c>
      <c r="M9" s="20"/>
      <c r="N9" s="20"/>
      <c r="O9" s="20" t="str">
        <f>IF(ISNUMBER(SEARCH("Clinicians",'Data extraction-synthesis'!M8)),"X","")</f>
        <v>X</v>
      </c>
      <c r="P9" s="20" t="s">
        <v>362</v>
      </c>
      <c r="Q9" s="20"/>
      <c r="R9" s="20"/>
      <c r="S9" s="20" t="str">
        <f>IF(ISNUMBER(SEARCH("Representatives of countries and national disease programs",'Data extraction-synthesis'!M8)),"X","")</f>
        <v>X</v>
      </c>
      <c r="T9" s="20" t="s">
        <v>362</v>
      </c>
      <c r="U9" s="20"/>
      <c r="V9" s="20"/>
      <c r="W9" s="20" t="str">
        <f>IF(ISNUMBER(SEARCH("International/public health institution ",'Data extraction-synthesis'!M8)),"X","")</f>
        <v>X</v>
      </c>
      <c r="X9" s="20" t="s">
        <v>362</v>
      </c>
      <c r="Y9" s="20"/>
      <c r="Z9" s="20"/>
      <c r="AA9" s="20" t="str">
        <f>IF(ISNUMBER(SEARCH("Experts (unspecific)",'Data extraction-synthesis'!M8)),"X","")</f>
        <v/>
      </c>
      <c r="AB9" s="20"/>
      <c r="AC9" s="20"/>
      <c r="AD9" s="20" t="str">
        <f>IF(ISNUMBER(SEARCH("Laboratory experts",'Data extraction-synthesis'!M8)),"X","")</f>
        <v/>
      </c>
      <c r="AE9" s="20"/>
      <c r="AF9" s="20"/>
      <c r="AG9" s="20" t="str">
        <f>IF(ISNUMBER(SEARCH("Non-profit sector",'Data extraction-synthesis'!M8)),"X","")</f>
        <v/>
      </c>
      <c r="AH9" s="20"/>
      <c r="AI9" s="20"/>
      <c r="AJ9" s="20" t="str">
        <f>IF(ISNUMBER(SEARCH("Technical/funding agencies",'Data extraction-synthesis'!M8)),"X","")</f>
        <v>X</v>
      </c>
      <c r="AK9" s="20" t="s">
        <v>362</v>
      </c>
      <c r="AL9" s="20"/>
      <c r="AM9" s="20"/>
      <c r="AN9" s="20" t="str">
        <f>IF(ISNUMBER(SEARCH("Policy makers",'Data extraction-synthesis'!M8)),"X","")</f>
        <v/>
      </c>
      <c r="AO9" s="20"/>
      <c r="AP9" s="20"/>
      <c r="AQ9" s="20"/>
      <c r="AR9" s="20" t="str">
        <f>IF(ISNUMBER(SEARCH("Implementers",'Data extraction-synthesis'!M8)),"X","")</f>
        <v>X</v>
      </c>
      <c r="AS9" s="20" t="s">
        <v>362</v>
      </c>
      <c r="AT9" s="20"/>
      <c r="AU9" s="20"/>
      <c r="AV9" s="20" t="str">
        <f>IF(ISNUMBER(SEARCH("Patient/community advocates",'Data extraction-synthesis'!M8)),"X","")</f>
        <v>X</v>
      </c>
      <c r="AW9" s="20" t="s">
        <v>362</v>
      </c>
      <c r="AX9" s="20"/>
      <c r="AY9" s="20"/>
      <c r="AZ9" s="20" t="str">
        <f>IF(ISNUMBER(SEARCH("Microbiologists",'Data extraction-synthesis'!M8)),"X","")</f>
        <v/>
      </c>
      <c r="BA9" s="20"/>
      <c r="BB9" s="20"/>
      <c r="BC9" s="20"/>
      <c r="BD9" s="20" t="str">
        <f>IF(ISNUMBER(SEARCH("Modelers",'Data extraction-synthesis'!M8)),"X","")</f>
        <v/>
      </c>
      <c r="BE9" s="20"/>
      <c r="BF9" s="20"/>
      <c r="BG9" s="20" t="str">
        <f>IF(ISNUMBER(SEARCH("Health economists",'Data extraction-synthesis'!M8)),"X","")</f>
        <v/>
      </c>
      <c r="BH9" s="20"/>
      <c r="BI9" s="20"/>
      <c r="BJ9" s="20" t="str">
        <f>IF(ISNUMBER(SEARCH("Donors",'Data extraction-synthesis'!M8)),"X","")</f>
        <v/>
      </c>
      <c r="BK9" s="20"/>
      <c r="BL9" s="20"/>
      <c r="BM9" s="20" t="str">
        <f>IF(ISNUMBER(SEARCH("Market experts",'Data extraction-synthesis'!M8)),"X","")</f>
        <v/>
      </c>
      <c r="BN9" s="20"/>
      <c r="BO9" s="20"/>
      <c r="BP9" s="20"/>
      <c r="BQ9" s="20" t="str">
        <f>IF(ISNUMBER(SEARCH("Program manager",'Data extraction-synthesis'!M8)),"X","")</f>
        <v/>
      </c>
      <c r="BR9" s="20"/>
      <c r="BS9" s="20"/>
      <c r="BT9" s="20" t="str">
        <f>IF(ISNUMBER(SEARCH("Scientific associations",'Data extraction-synthesis'!M8)),"X","")</f>
        <v/>
      </c>
      <c r="BU9" s="20"/>
      <c r="BV9" s="20"/>
      <c r="BW9" s="20"/>
      <c r="BX9" s="20" t="str">
        <f>IF(ISNUMBER(SEARCH("Strategists",'Data extraction-synthesis'!M8)),"X","")</f>
        <v/>
      </c>
      <c r="BY9" s="20"/>
      <c r="BZ9" s="20"/>
      <c r="CA9" s="20" t="str">
        <f>IF(ISNUMBER(SEARCH("Other",'Data extraction-synthesis'!M8)),"X","")</f>
        <v>X</v>
      </c>
      <c r="CB9" s="20" t="s">
        <v>362</v>
      </c>
      <c r="CC9" s="20"/>
    </row>
    <row r="10" spans="1:81" ht="132.6">
      <c r="A10" s="1" t="s">
        <v>38</v>
      </c>
      <c r="B10" s="19" t="s">
        <v>39</v>
      </c>
      <c r="C10" s="20" t="str">
        <f>IF(ISNUMBER(SEARCH("Industry (unspecific)",'Data extraction-synthesis'!M9)),"X","")</f>
        <v>X</v>
      </c>
      <c r="D10" s="20">
        <v>2</v>
      </c>
      <c r="E10" s="20" t="str">
        <f t="shared" si="0"/>
        <v>X</v>
      </c>
      <c r="F10" s="20" t="s">
        <v>360</v>
      </c>
      <c r="G10" s="20" t="s">
        <v>361</v>
      </c>
      <c r="H10" s="20" t="s">
        <v>362</v>
      </c>
      <c r="I10" s="20" t="str">
        <f>IF(ISNUMBER(SEARCH("Test developers",'Data extraction-synthesis'!M9)),"X","")</f>
        <v>X</v>
      </c>
      <c r="J10" s="20"/>
      <c r="K10" s="20" t="str">
        <f>IF(ISNUMBER(SEARCH("Academia/researchers",'Data extraction-synthesis'!M9)),"X","")</f>
        <v>X</v>
      </c>
      <c r="L10" s="20" t="s">
        <v>360</v>
      </c>
      <c r="M10" s="20" t="s">
        <v>361</v>
      </c>
      <c r="N10" s="20" t="s">
        <v>362</v>
      </c>
      <c r="O10" s="20" t="str">
        <f>IF(ISNUMBER(SEARCH("Clinicians",'Data extraction-synthesis'!M9)),"X","")</f>
        <v>X</v>
      </c>
      <c r="P10" s="20" t="s">
        <v>360</v>
      </c>
      <c r="Q10" s="20" t="s">
        <v>361</v>
      </c>
      <c r="R10" s="20" t="s">
        <v>362</v>
      </c>
      <c r="S10" s="20" t="str">
        <f>IF(ISNUMBER(SEARCH("Representatives of countries and national disease programs",'Data extraction-synthesis'!M9)),"X","")</f>
        <v/>
      </c>
      <c r="T10" s="20"/>
      <c r="U10" s="20"/>
      <c r="V10" s="20"/>
      <c r="W10" s="20" t="str">
        <f>IF(ISNUMBER(SEARCH("International/public health institution ",'Data extraction-synthesis'!M9)),"X","")</f>
        <v/>
      </c>
      <c r="X10" s="20"/>
      <c r="Y10" s="20"/>
      <c r="Z10" s="20"/>
      <c r="AA10" s="20" t="str">
        <f>IF(ISNUMBER(SEARCH("Experts (unspecific)",'Data extraction-synthesis'!M9)),"X","")</f>
        <v/>
      </c>
      <c r="AB10" s="20"/>
      <c r="AC10" s="20"/>
      <c r="AD10" s="20" t="str">
        <f>IF(ISNUMBER(SEARCH("Laboratory experts",'Data extraction-synthesis'!M9)),"X","")</f>
        <v/>
      </c>
      <c r="AE10" s="20"/>
      <c r="AF10" s="20"/>
      <c r="AG10" s="20" t="str">
        <f>IF(ISNUMBER(SEARCH("Non-profit sector",'Data extraction-synthesis'!M9)),"X","")</f>
        <v/>
      </c>
      <c r="AH10" s="20"/>
      <c r="AI10" s="20"/>
      <c r="AJ10" s="20" t="str">
        <f>IF(ISNUMBER(SEARCH("Technical/funding agencies",'Data extraction-synthesis'!M9)),"X","")</f>
        <v/>
      </c>
      <c r="AK10" s="20"/>
      <c r="AL10" s="20"/>
      <c r="AM10" s="20"/>
      <c r="AN10" s="20" t="str">
        <f>IF(ISNUMBER(SEARCH("Policy makers",'Data extraction-synthesis'!M9)),"X","")</f>
        <v/>
      </c>
      <c r="AO10" s="20"/>
      <c r="AP10" s="20"/>
      <c r="AQ10" s="20"/>
      <c r="AR10" s="20" t="str">
        <f>IF(ISNUMBER(SEARCH("Implementers",'Data extraction-synthesis'!M9)),"X","")</f>
        <v/>
      </c>
      <c r="AS10" s="20"/>
      <c r="AT10" s="20"/>
      <c r="AU10" s="20"/>
      <c r="AV10" s="20" t="str">
        <f>IF(ISNUMBER(SEARCH("Patient/community advocates",'Data extraction-synthesis'!M9)),"X","")</f>
        <v/>
      </c>
      <c r="AW10" s="20"/>
      <c r="AX10" s="20"/>
      <c r="AY10" s="20"/>
      <c r="AZ10" s="20" t="str">
        <f>IF(ISNUMBER(SEARCH("Microbiologists",'Data extraction-synthesis'!M9)),"X","")</f>
        <v>X</v>
      </c>
      <c r="BA10" s="20" t="s">
        <v>360</v>
      </c>
      <c r="BB10" s="20" t="s">
        <v>361</v>
      </c>
      <c r="BC10" s="20"/>
      <c r="BD10" s="20" t="str">
        <f>IF(ISNUMBER(SEARCH("Modelers",'Data extraction-synthesis'!M9)),"X","")</f>
        <v/>
      </c>
      <c r="BE10" s="20"/>
      <c r="BF10" s="20"/>
      <c r="BG10" s="20" t="str">
        <f>IF(ISNUMBER(SEARCH("Health economists",'Data extraction-synthesis'!M9)),"X","")</f>
        <v/>
      </c>
      <c r="BH10" s="20"/>
      <c r="BI10" s="20"/>
      <c r="BJ10" s="20" t="str">
        <f>IF(ISNUMBER(SEARCH("Donors",'Data extraction-synthesis'!M9)),"X","")</f>
        <v/>
      </c>
      <c r="BK10" s="20"/>
      <c r="BL10" s="20"/>
      <c r="BM10" s="20" t="str">
        <f>IF(ISNUMBER(SEARCH("Market experts",'Data extraction-synthesis'!M9)),"X","")</f>
        <v>X</v>
      </c>
      <c r="BN10" s="20" t="s">
        <v>360</v>
      </c>
      <c r="BO10" s="20" t="s">
        <v>361</v>
      </c>
      <c r="BP10" s="20" t="s">
        <v>362</v>
      </c>
      <c r="BQ10" s="20" t="str">
        <f>IF(ISNUMBER(SEARCH("Program manager",'Data extraction-synthesis'!M9)),"X","")</f>
        <v/>
      </c>
      <c r="BR10" s="20"/>
      <c r="BS10" s="20"/>
      <c r="BT10" s="20" t="str">
        <f>IF(ISNUMBER(SEARCH("Scientific associations",'Data extraction-synthesis'!M9)),"X","")</f>
        <v/>
      </c>
      <c r="BU10" s="20"/>
      <c r="BV10" s="20"/>
      <c r="BW10" s="20"/>
      <c r="BX10" s="20" t="str">
        <f>IF(ISNUMBER(SEARCH("Strategists",'Data extraction-synthesis'!M9)),"X","")</f>
        <v/>
      </c>
      <c r="BY10" s="20"/>
      <c r="BZ10" s="20"/>
      <c r="CA10" s="20" t="str">
        <f>IF(ISNUMBER(SEARCH("Other",'Data extraction-synthesis'!M9)),"X","")</f>
        <v/>
      </c>
      <c r="CB10" s="20"/>
      <c r="CC10" s="20"/>
    </row>
    <row r="11" spans="1:81" ht="409.6">
      <c r="A11" s="1" t="s">
        <v>41</v>
      </c>
      <c r="B11" s="19" t="s">
        <v>42</v>
      </c>
      <c r="C11" s="20" t="str">
        <f>IF(ISNUMBER(SEARCH("Industry (unspecific)",'Data extraction-synthesis'!M10)),"X","")</f>
        <v/>
      </c>
      <c r="D11" s="20">
        <v>3</v>
      </c>
      <c r="E11" s="20" t="str">
        <f t="shared" si="0"/>
        <v>X</v>
      </c>
      <c r="F11" s="20" t="s">
        <v>360</v>
      </c>
      <c r="G11" s="20" t="s">
        <v>361</v>
      </c>
      <c r="H11" s="20" t="s">
        <v>362</v>
      </c>
      <c r="I11" s="20" t="str">
        <f>IF(ISNUMBER(SEARCH("Test developers",'Data extraction-synthesis'!M10)),"X","")</f>
        <v>X</v>
      </c>
      <c r="J11" s="20"/>
      <c r="K11" s="20" t="str">
        <f>IF(ISNUMBER(SEARCH("Academia/researchers",'Data extraction-synthesis'!M10)),"X","")</f>
        <v>X</v>
      </c>
      <c r="L11" s="20" t="s">
        <v>360</v>
      </c>
      <c r="M11" s="20" t="s">
        <v>361</v>
      </c>
      <c r="N11" s="20" t="s">
        <v>362</v>
      </c>
      <c r="O11" s="20" t="str">
        <f>IF(ISNUMBER(SEARCH("Clinicians",'Data extraction-synthesis'!M10)),"X","")</f>
        <v/>
      </c>
      <c r="P11" s="20"/>
      <c r="Q11" s="20"/>
      <c r="R11" s="20"/>
      <c r="S11" s="20" t="str">
        <f>IF(ISNUMBER(SEARCH("Representatives of countries and national disease programs",'Data extraction-synthesis'!M10)),"X","")</f>
        <v/>
      </c>
      <c r="T11" s="20"/>
      <c r="U11" s="20"/>
      <c r="V11" s="20"/>
      <c r="W11" s="20" t="str">
        <f>IF(ISNUMBER(SEARCH("International/public health institution ",'Data extraction-synthesis'!M10)),"X","")</f>
        <v/>
      </c>
      <c r="X11" s="20"/>
      <c r="Y11" s="20"/>
      <c r="Z11" s="20"/>
      <c r="AA11" s="20" t="str">
        <f>IF(ISNUMBER(SEARCH("Experts (unspecific)",'Data extraction-synthesis'!M10)),"X","")</f>
        <v/>
      </c>
      <c r="AB11" s="20"/>
      <c r="AC11" s="20"/>
      <c r="AD11" s="20" t="str">
        <f>IF(ISNUMBER(SEARCH("Laboratory experts",'Data extraction-synthesis'!M10)),"X","")</f>
        <v/>
      </c>
      <c r="AE11" s="20"/>
      <c r="AF11" s="20"/>
      <c r="AG11" s="20" t="str">
        <f>IF(ISNUMBER(SEARCH("Non-profit sector",'Data extraction-synthesis'!M10)),"X","")</f>
        <v/>
      </c>
      <c r="AH11" s="20"/>
      <c r="AI11" s="20"/>
      <c r="AJ11" s="20" t="str">
        <f>IF(ISNUMBER(SEARCH("Technical/funding agencies",'Data extraction-synthesis'!M10)),"X","")</f>
        <v/>
      </c>
      <c r="AK11" s="20"/>
      <c r="AL11" s="20"/>
      <c r="AM11" s="20"/>
      <c r="AN11" s="20" t="str">
        <f>IF(ISNUMBER(SEARCH("Policy makers",'Data extraction-synthesis'!M10)),"X","")</f>
        <v/>
      </c>
      <c r="AO11" s="20"/>
      <c r="AP11" s="20"/>
      <c r="AQ11" s="20"/>
      <c r="AR11" s="20" t="str">
        <f>IF(ISNUMBER(SEARCH("Implementers",'Data extraction-synthesis'!M10)),"X","")</f>
        <v>X</v>
      </c>
      <c r="AS11" s="20" t="s">
        <v>360</v>
      </c>
      <c r="AT11" s="20" t="s">
        <v>361</v>
      </c>
      <c r="AU11" s="20" t="s">
        <v>362</v>
      </c>
      <c r="AV11" s="20" t="str">
        <f>IF(ISNUMBER(SEARCH("Patient/community advocates",'Data extraction-synthesis'!M10)),"X","")</f>
        <v/>
      </c>
      <c r="AW11" s="20"/>
      <c r="AX11" s="20"/>
      <c r="AY11" s="20"/>
      <c r="AZ11" s="20" t="str">
        <f>IF(ISNUMBER(SEARCH("Microbiologists",'Data extraction-synthesis'!M10)),"X","")</f>
        <v/>
      </c>
      <c r="BA11" s="20"/>
      <c r="BB11" s="20"/>
      <c r="BC11" s="20"/>
      <c r="BD11" s="20" t="str">
        <f>IF(ISNUMBER(SEARCH("Modelers",'Data extraction-synthesis'!M10)),"X","")</f>
        <v/>
      </c>
      <c r="BE11" s="20"/>
      <c r="BF11" s="20"/>
      <c r="BG11" s="20" t="str">
        <f>IF(ISNUMBER(SEARCH("Health economists",'Data extraction-synthesis'!M10)),"X","")</f>
        <v/>
      </c>
      <c r="BH11" s="20"/>
      <c r="BI11" s="20"/>
      <c r="BJ11" s="20" t="str">
        <f>IF(ISNUMBER(SEARCH("Donors",'Data extraction-synthesis'!M10)),"X","")</f>
        <v/>
      </c>
      <c r="BK11" s="20"/>
      <c r="BL11" s="20"/>
      <c r="BM11" s="20" t="str">
        <f>IF(ISNUMBER(SEARCH("Market experts",'Data extraction-synthesis'!M10)),"X","")</f>
        <v/>
      </c>
      <c r="BN11" s="20"/>
      <c r="BO11" s="20"/>
      <c r="BP11" s="20"/>
      <c r="BQ11" s="20" t="str">
        <f>IF(ISNUMBER(SEARCH("Program manager",'Data extraction-synthesis'!M10)),"X","")</f>
        <v/>
      </c>
      <c r="BR11" s="20"/>
      <c r="BS11" s="20"/>
      <c r="BT11" s="20" t="str">
        <f>IF(ISNUMBER(SEARCH("Scientific associations",'Data extraction-synthesis'!M10)),"X","")</f>
        <v/>
      </c>
      <c r="BU11" s="20"/>
      <c r="BV11" s="20"/>
      <c r="BW11" s="20"/>
      <c r="BX11" s="20" t="str">
        <f>IF(ISNUMBER(SEARCH("Strategists",'Data extraction-synthesis'!M10)),"X","")</f>
        <v/>
      </c>
      <c r="BY11" s="20"/>
      <c r="BZ11" s="20"/>
      <c r="CA11" s="20" t="str">
        <f>IF(ISNUMBER(SEARCH("Other",'Data extraction-synthesis'!M10)),"X","")</f>
        <v/>
      </c>
      <c r="CB11" s="20"/>
      <c r="CC11" s="20"/>
    </row>
    <row r="12" spans="1:81" ht="409.6">
      <c r="A12" s="1" t="s">
        <v>43</v>
      </c>
      <c r="B12" s="19" t="s">
        <v>44</v>
      </c>
      <c r="C12" s="20" t="str">
        <f>IF(ISNUMBER(SEARCH("Industry (unspecific)",'Data extraction-synthesis'!M11)),"X","")</f>
        <v>X</v>
      </c>
      <c r="D12" s="20"/>
      <c r="E12" s="20" t="str">
        <f t="shared" si="0"/>
        <v>X</v>
      </c>
      <c r="F12" s="20" t="s">
        <v>362</v>
      </c>
      <c r="G12" s="20"/>
      <c r="H12" s="20"/>
      <c r="I12" s="20" t="str">
        <f>IF(ISNUMBER(SEARCH("Test developers",'Data extraction-synthesis'!M11)),"X","")</f>
        <v/>
      </c>
      <c r="J12" s="20"/>
      <c r="K12" s="20" t="str">
        <f>IF(ISNUMBER(SEARCH("Academia/researchers",'Data extraction-synthesis'!M11)),"X","")</f>
        <v>X</v>
      </c>
      <c r="L12" s="20" t="s">
        <v>362</v>
      </c>
      <c r="M12" s="20"/>
      <c r="N12" s="20"/>
      <c r="O12" s="20" t="str">
        <f>IF(ISNUMBER(SEARCH("Clinicians",'Data extraction-synthesis'!M11)),"X","")</f>
        <v/>
      </c>
      <c r="P12" s="20"/>
      <c r="Q12" s="20"/>
      <c r="R12" s="20"/>
      <c r="S12" s="20" t="str">
        <f>IF(ISNUMBER(SEARCH("Representatives of countries and national disease programs",'Data extraction-synthesis'!M11)),"X","")</f>
        <v/>
      </c>
      <c r="T12" s="20"/>
      <c r="U12" s="20"/>
      <c r="V12" s="20"/>
      <c r="W12" s="20" t="str">
        <f>IF(ISNUMBER(SEARCH("International/public health institution ",'Data extraction-synthesis'!M11)),"X","")</f>
        <v>X</v>
      </c>
      <c r="X12" s="20" t="s">
        <v>362</v>
      </c>
      <c r="Y12" s="20"/>
      <c r="Z12" s="20"/>
      <c r="AA12" s="20" t="str">
        <f>IF(ISNUMBER(SEARCH("Experts (unspecific)",'Data extraction-synthesis'!M11)),"X","")</f>
        <v/>
      </c>
      <c r="AB12" s="20"/>
      <c r="AC12" s="20"/>
      <c r="AD12" s="20" t="str">
        <f>IF(ISNUMBER(SEARCH("Laboratory experts",'Data extraction-synthesis'!M11)),"X","")</f>
        <v/>
      </c>
      <c r="AE12" s="20"/>
      <c r="AF12" s="20"/>
      <c r="AG12" s="20" t="str">
        <f>IF(ISNUMBER(SEARCH("Non-profit sector",'Data extraction-synthesis'!M11)),"X","")</f>
        <v/>
      </c>
      <c r="AH12" s="20"/>
      <c r="AI12" s="20"/>
      <c r="AJ12" s="20" t="str">
        <f>IF(ISNUMBER(SEARCH("Technical/funding agencies",'Data extraction-synthesis'!M11)),"X","")</f>
        <v/>
      </c>
      <c r="AK12" s="20"/>
      <c r="AL12" s="20"/>
      <c r="AM12" s="20"/>
      <c r="AN12" s="20" t="str">
        <f>IF(ISNUMBER(SEARCH("Policy makers",'Data extraction-synthesis'!M11)),"X","")</f>
        <v/>
      </c>
      <c r="AO12" s="20"/>
      <c r="AP12" s="20"/>
      <c r="AQ12" s="20"/>
      <c r="AR12" s="20" t="str">
        <f>IF(ISNUMBER(SEARCH("Implementers",'Data extraction-synthesis'!M11)),"X","")</f>
        <v/>
      </c>
      <c r="AS12" s="20"/>
      <c r="AT12" s="20"/>
      <c r="AU12" s="20"/>
      <c r="AV12" s="20" t="str">
        <f>IF(ISNUMBER(SEARCH("Patient/community advocates",'Data extraction-synthesis'!M11)),"X","")</f>
        <v/>
      </c>
      <c r="AW12" s="20"/>
      <c r="AX12" s="20"/>
      <c r="AY12" s="20"/>
      <c r="AZ12" s="20" t="str">
        <f>IF(ISNUMBER(SEARCH("Microbiologists",'Data extraction-synthesis'!M11)),"X","")</f>
        <v/>
      </c>
      <c r="BA12" s="20"/>
      <c r="BB12" s="20"/>
      <c r="BC12" s="20"/>
      <c r="BD12" s="20" t="str">
        <f>IF(ISNUMBER(SEARCH("Modelers",'Data extraction-synthesis'!M11)),"X","")</f>
        <v/>
      </c>
      <c r="BE12" s="20"/>
      <c r="BF12" s="20"/>
      <c r="BG12" s="20" t="str">
        <f>IF(ISNUMBER(SEARCH("Health economists",'Data extraction-synthesis'!M11)),"X","")</f>
        <v/>
      </c>
      <c r="BH12" s="20"/>
      <c r="BI12" s="20"/>
      <c r="BJ12" s="20" t="str">
        <f>IF(ISNUMBER(SEARCH("Donors",'Data extraction-synthesis'!M11)),"X","")</f>
        <v/>
      </c>
      <c r="BK12" s="20"/>
      <c r="BL12" s="20"/>
      <c r="BM12" s="20" t="str">
        <f>IF(ISNUMBER(SEARCH("Market experts",'Data extraction-synthesis'!M11)),"X","")</f>
        <v/>
      </c>
      <c r="BN12" s="20"/>
      <c r="BO12" s="20"/>
      <c r="BP12" s="20"/>
      <c r="BQ12" s="20" t="str">
        <f>IF(ISNUMBER(SEARCH("Program manager",'Data extraction-synthesis'!M11)),"X","")</f>
        <v/>
      </c>
      <c r="BR12" s="20"/>
      <c r="BS12" s="20"/>
      <c r="BT12" s="20" t="str">
        <f>IF(ISNUMBER(SEARCH("Scientific associations",'Data extraction-synthesis'!M11)),"X","")</f>
        <v/>
      </c>
      <c r="BU12" s="20"/>
      <c r="BV12" s="20"/>
      <c r="BW12" s="20"/>
      <c r="BX12" s="20" t="str">
        <f>IF(ISNUMBER(SEARCH("Strategists",'Data extraction-synthesis'!M11)),"X","")</f>
        <v/>
      </c>
      <c r="BY12" s="20"/>
      <c r="BZ12" s="20"/>
      <c r="CA12" s="20" t="str">
        <f>IF(ISNUMBER(SEARCH("Other",'Data extraction-synthesis'!M11)),"X","")</f>
        <v/>
      </c>
      <c r="CB12" s="20"/>
      <c r="CC12" s="20"/>
    </row>
    <row r="13" spans="1:81" ht="304.2">
      <c r="A13" s="1" t="s">
        <v>45</v>
      </c>
      <c r="B13" s="19" t="s">
        <v>46</v>
      </c>
      <c r="C13" s="20" t="str">
        <f>IF(ISNUMBER(SEARCH("Industry (unspecific)",'Data extraction-synthesis'!M12)),"X","")</f>
        <v/>
      </c>
      <c r="D13" s="20"/>
      <c r="E13" s="20" t="str">
        <f t="shared" si="0"/>
        <v/>
      </c>
      <c r="F13" s="20"/>
      <c r="G13" s="20"/>
      <c r="H13" s="20"/>
      <c r="I13" s="20" t="str">
        <f>IF(ISNUMBER(SEARCH("Test developers",'Data extraction-synthesis'!M12)),"X","")</f>
        <v/>
      </c>
      <c r="J13" s="20"/>
      <c r="K13" s="20" t="str">
        <f>IF(ISNUMBER(SEARCH("Academia/researchers",'Data extraction-synthesis'!M12)),"X","")</f>
        <v/>
      </c>
      <c r="L13" s="20"/>
      <c r="M13" s="20"/>
      <c r="N13" s="20"/>
      <c r="O13" s="20" t="str">
        <f>IF(ISNUMBER(SEARCH("Clinicians",'Data extraction-synthesis'!M12)),"X","")</f>
        <v/>
      </c>
      <c r="P13" s="20"/>
      <c r="Q13" s="20"/>
      <c r="R13" s="20"/>
      <c r="S13" s="20" t="str">
        <f>IF(ISNUMBER(SEARCH("Representatives of countries and national disease programs",'Data extraction-synthesis'!M12)),"X","")</f>
        <v/>
      </c>
      <c r="T13" s="20"/>
      <c r="U13" s="20"/>
      <c r="V13" s="20"/>
      <c r="W13" s="20" t="str">
        <f>IF(ISNUMBER(SEARCH("International/public health institution ",'Data extraction-synthesis'!M12)),"X","")</f>
        <v/>
      </c>
      <c r="X13" s="20"/>
      <c r="Y13" s="20"/>
      <c r="Z13" s="20"/>
      <c r="AA13" s="20" t="str">
        <f>IF(ISNUMBER(SEARCH("Experts (unspecific)",'Data extraction-synthesis'!M12)),"X","")</f>
        <v/>
      </c>
      <c r="AB13" s="20"/>
      <c r="AC13" s="20"/>
      <c r="AD13" s="20" t="str">
        <f>IF(ISNUMBER(SEARCH("Laboratory experts",'Data extraction-synthesis'!M12)),"X","")</f>
        <v/>
      </c>
      <c r="AE13" s="20"/>
      <c r="AF13" s="20"/>
      <c r="AG13" s="20" t="str">
        <f>IF(ISNUMBER(SEARCH("Non-profit sector",'Data extraction-synthesis'!M12)),"X","")</f>
        <v/>
      </c>
      <c r="AH13" s="20"/>
      <c r="AI13" s="20"/>
      <c r="AJ13" s="20" t="str">
        <f>IF(ISNUMBER(SEARCH("Technical/funding agencies",'Data extraction-synthesis'!M12)),"X","")</f>
        <v/>
      </c>
      <c r="AK13" s="20"/>
      <c r="AL13" s="20"/>
      <c r="AM13" s="20"/>
      <c r="AN13" s="20" t="str">
        <f>IF(ISNUMBER(SEARCH("Policy makers",'Data extraction-synthesis'!M12)),"X","")</f>
        <v/>
      </c>
      <c r="AO13" s="20"/>
      <c r="AP13" s="20"/>
      <c r="AQ13" s="20"/>
      <c r="AR13" s="20" t="str">
        <f>IF(ISNUMBER(SEARCH("Implementers",'Data extraction-synthesis'!M12)),"X","")</f>
        <v/>
      </c>
      <c r="AS13" s="20"/>
      <c r="AT13" s="20"/>
      <c r="AU13" s="20"/>
      <c r="AV13" s="20" t="str">
        <f>IF(ISNUMBER(SEARCH("Patient/community advocates",'Data extraction-synthesis'!M12)),"X","")</f>
        <v/>
      </c>
      <c r="AW13" s="20"/>
      <c r="AX13" s="20"/>
      <c r="AY13" s="20"/>
      <c r="AZ13" s="20" t="str">
        <f>IF(ISNUMBER(SEARCH("Microbiologists",'Data extraction-synthesis'!M12)),"X","")</f>
        <v/>
      </c>
      <c r="BA13" s="20"/>
      <c r="BB13" s="20"/>
      <c r="BC13" s="20"/>
      <c r="BD13" s="20" t="str">
        <f>IF(ISNUMBER(SEARCH("Modelers",'Data extraction-synthesis'!M12)),"X","")</f>
        <v/>
      </c>
      <c r="BE13" s="20"/>
      <c r="BF13" s="20"/>
      <c r="BG13" s="20" t="str">
        <f>IF(ISNUMBER(SEARCH("Health economists",'Data extraction-synthesis'!M12)),"X","")</f>
        <v/>
      </c>
      <c r="BH13" s="20"/>
      <c r="BI13" s="20"/>
      <c r="BJ13" s="20" t="str">
        <f>IF(ISNUMBER(SEARCH("Donors",'Data extraction-synthesis'!M12)),"X","")</f>
        <v/>
      </c>
      <c r="BK13" s="20"/>
      <c r="BL13" s="20"/>
      <c r="BM13" s="20" t="str">
        <f>IF(ISNUMBER(SEARCH("Market experts",'Data extraction-synthesis'!M12)),"X","")</f>
        <v/>
      </c>
      <c r="BN13" s="20"/>
      <c r="BO13" s="20"/>
      <c r="BP13" s="20"/>
      <c r="BQ13" s="20" t="str">
        <f>IF(ISNUMBER(SEARCH("Program manager",'Data extraction-synthesis'!M12)),"X","")</f>
        <v/>
      </c>
      <c r="BR13" s="20"/>
      <c r="BS13" s="20"/>
      <c r="BT13" s="20" t="str">
        <f>IF(ISNUMBER(SEARCH("Scientific associations",'Data extraction-synthesis'!M12)),"X","")</f>
        <v/>
      </c>
      <c r="BU13" s="20"/>
      <c r="BV13" s="20"/>
      <c r="BW13" s="20"/>
      <c r="BX13" s="20" t="str">
        <f>IF(ISNUMBER(SEARCH("Strategists",'Data extraction-synthesis'!M12)),"X","")</f>
        <v/>
      </c>
      <c r="BY13" s="20"/>
      <c r="BZ13" s="20"/>
      <c r="CA13" s="20" t="str">
        <f>IF(ISNUMBER(SEARCH("Other",'Data extraction-synthesis'!M12)),"X","")</f>
        <v/>
      </c>
      <c r="CB13" s="20"/>
      <c r="CC13" s="20"/>
    </row>
    <row r="14" spans="1:81" ht="238.2">
      <c r="A14" s="1" t="s">
        <v>48</v>
      </c>
      <c r="B14" s="19" t="s">
        <v>49</v>
      </c>
      <c r="C14" s="20" t="str">
        <f>IF(ISNUMBER(SEARCH("Industry (unspecific)",'Data extraction-synthesis'!M13)),"X","")</f>
        <v>X</v>
      </c>
      <c r="D14" s="20">
        <v>4</v>
      </c>
      <c r="E14" s="20" t="str">
        <f t="shared" si="0"/>
        <v>X</v>
      </c>
      <c r="F14" s="20" t="s">
        <v>361</v>
      </c>
      <c r="G14" s="20" t="s">
        <v>360</v>
      </c>
      <c r="H14" s="20" t="s">
        <v>362</v>
      </c>
      <c r="I14" s="20" t="str">
        <f>IF(ISNUMBER(SEARCH("Test developers",'Data extraction-synthesis'!M13)),"X","")</f>
        <v/>
      </c>
      <c r="J14" s="20"/>
      <c r="K14" s="20" t="str">
        <f>IF(ISNUMBER(SEARCH("Academia/researchers",'Data extraction-synthesis'!M13)),"X","")</f>
        <v>X</v>
      </c>
      <c r="L14" s="20" t="s">
        <v>361</v>
      </c>
      <c r="M14" s="20" t="s">
        <v>360</v>
      </c>
      <c r="N14" s="20" t="s">
        <v>362</v>
      </c>
      <c r="O14" s="20" t="str">
        <f>IF(ISNUMBER(SEARCH("Clinicians",'Data extraction-synthesis'!M13)),"X","")</f>
        <v>X</v>
      </c>
      <c r="P14" s="20" t="s">
        <v>361</v>
      </c>
      <c r="Q14" s="20" t="s">
        <v>360</v>
      </c>
      <c r="R14" s="20" t="s">
        <v>362</v>
      </c>
      <c r="S14" s="20" t="str">
        <f>IF(ISNUMBER(SEARCH("Representatives of countries and national disease programs",'Data extraction-synthesis'!M13)),"X","")</f>
        <v>X</v>
      </c>
      <c r="T14" s="20" t="s">
        <v>361</v>
      </c>
      <c r="U14" s="20" t="s">
        <v>360</v>
      </c>
      <c r="V14" s="20" t="s">
        <v>362</v>
      </c>
      <c r="W14" s="20" t="str">
        <f>IF(ISNUMBER(SEARCH("International/public health institution ",'Data extraction-synthesis'!M13)),"X","")</f>
        <v>X</v>
      </c>
      <c r="X14" s="20" t="s">
        <v>361</v>
      </c>
      <c r="Y14" s="20" t="s">
        <v>360</v>
      </c>
      <c r="Z14" s="20" t="s">
        <v>362</v>
      </c>
      <c r="AA14" s="20" t="str">
        <f>IF(ISNUMBER(SEARCH("Experts (unspecific)",'Data extraction-synthesis'!M13)),"X","")</f>
        <v/>
      </c>
      <c r="AB14" s="20"/>
      <c r="AC14" s="20"/>
      <c r="AD14" s="20" t="str">
        <f>IF(ISNUMBER(SEARCH("Laboratory experts",'Data extraction-synthesis'!M13)),"X","")</f>
        <v/>
      </c>
      <c r="AE14" s="20"/>
      <c r="AF14" s="20"/>
      <c r="AG14" s="20" t="str">
        <f>IF(ISNUMBER(SEARCH("Non-profit sector",'Data extraction-synthesis'!M13)),"X","")</f>
        <v/>
      </c>
      <c r="AH14" s="20"/>
      <c r="AI14" s="20"/>
      <c r="AJ14" s="20" t="str">
        <f>IF(ISNUMBER(SEARCH("Technical/funding agencies",'Data extraction-synthesis'!M13)),"X","")</f>
        <v>X</v>
      </c>
      <c r="AK14" s="20" t="s">
        <v>361</v>
      </c>
      <c r="AL14" s="20" t="s">
        <v>360</v>
      </c>
      <c r="AM14" s="20" t="s">
        <v>362</v>
      </c>
      <c r="AN14" s="20" t="str">
        <f>IF(ISNUMBER(SEARCH("Policy makers",'Data extraction-synthesis'!M13)),"X","")</f>
        <v>X</v>
      </c>
      <c r="AO14" s="81" t="s">
        <v>362</v>
      </c>
      <c r="AP14" s="20"/>
      <c r="AQ14" s="20"/>
      <c r="AR14" s="20" t="str">
        <f>IF(ISNUMBER(SEARCH("Implementers",'Data extraction-synthesis'!M13)),"X","")</f>
        <v>X</v>
      </c>
      <c r="AS14" s="20" t="s">
        <v>361</v>
      </c>
      <c r="AT14" s="20" t="s">
        <v>360</v>
      </c>
      <c r="AU14" s="20" t="s">
        <v>362</v>
      </c>
      <c r="AV14" s="20" t="str">
        <f>IF(ISNUMBER(SEARCH("Patient/community advocates",'Data extraction-synthesis'!M13)),"X","")</f>
        <v>X</v>
      </c>
      <c r="AW14" s="20" t="s">
        <v>361</v>
      </c>
      <c r="AX14" s="20" t="s">
        <v>360</v>
      </c>
      <c r="AY14" s="20" t="s">
        <v>362</v>
      </c>
      <c r="AZ14" s="20" t="str">
        <f>IF(ISNUMBER(SEARCH("Microbiologists",'Data extraction-synthesis'!M13)),"X","")</f>
        <v/>
      </c>
      <c r="BA14" s="20"/>
      <c r="BB14" s="20"/>
      <c r="BC14" s="20"/>
      <c r="BD14" s="20" t="str">
        <f>IF(ISNUMBER(SEARCH("Modelers",'Data extraction-synthesis'!M13)),"X","")</f>
        <v/>
      </c>
      <c r="BE14" s="20"/>
      <c r="BF14" s="20"/>
      <c r="BG14" s="20" t="str">
        <f>IF(ISNUMBER(SEARCH("Health economists",'Data extraction-synthesis'!M13)),"X","")</f>
        <v/>
      </c>
      <c r="BH14" s="20"/>
      <c r="BI14" s="20"/>
      <c r="BJ14" s="20" t="str">
        <f>IF(ISNUMBER(SEARCH("Donors",'Data extraction-synthesis'!M13)),"X","")</f>
        <v/>
      </c>
      <c r="BK14" s="20"/>
      <c r="BL14" s="20"/>
      <c r="BM14" s="20" t="str">
        <f>IF(ISNUMBER(SEARCH("Market experts",'Data extraction-synthesis'!M13)),"X","")</f>
        <v/>
      </c>
      <c r="BN14" s="20"/>
      <c r="BO14" s="20"/>
      <c r="BP14" s="20"/>
      <c r="BQ14" s="20" t="str">
        <f>IF(ISNUMBER(SEARCH("Program manager",'Data extraction-synthesis'!M13)),"X","")</f>
        <v>X</v>
      </c>
      <c r="BR14" s="81" t="s">
        <v>362</v>
      </c>
      <c r="BS14" s="20"/>
      <c r="BT14" s="20" t="str">
        <f>IF(ISNUMBER(SEARCH("Scientific associations",'Data extraction-synthesis'!M13)),"X","")</f>
        <v/>
      </c>
      <c r="BU14" s="20"/>
      <c r="BV14" s="20"/>
      <c r="BW14" s="20"/>
      <c r="BX14" s="20" t="str">
        <f>IF(ISNUMBER(SEARCH("Strategists",'Data extraction-synthesis'!M13)),"X","")</f>
        <v/>
      </c>
      <c r="BY14" s="20"/>
      <c r="BZ14" s="20"/>
      <c r="CA14" s="20" t="str">
        <f>IF(ISNUMBER(SEARCH("Other",'Data extraction-synthesis'!M13)),"X","")</f>
        <v/>
      </c>
      <c r="CB14" s="20"/>
      <c r="CC14" s="20"/>
    </row>
    <row r="15" spans="1:81" ht="409.6">
      <c r="A15" s="1" t="s">
        <v>50</v>
      </c>
      <c r="B15" s="19" t="s">
        <v>51</v>
      </c>
      <c r="C15" s="20" t="str">
        <f>IF(ISNUMBER(SEARCH("Industry (unspecific)",'Data extraction-synthesis'!M14)),"X","")</f>
        <v/>
      </c>
      <c r="D15" s="20"/>
      <c r="E15" s="20" t="str">
        <f t="shared" si="0"/>
        <v/>
      </c>
      <c r="F15" s="20"/>
      <c r="G15" s="20"/>
      <c r="H15" s="20"/>
      <c r="I15" s="20" t="str">
        <f>IF(ISNUMBER(SEARCH("Test developers",'Data extraction-synthesis'!M14)),"X","")</f>
        <v/>
      </c>
      <c r="J15" s="20"/>
      <c r="K15" s="20" t="str">
        <f>IF(ISNUMBER(SEARCH("Academia/researchers",'Data extraction-synthesis'!M14)),"X","")</f>
        <v/>
      </c>
      <c r="L15" s="20"/>
      <c r="M15" s="20"/>
      <c r="N15" s="20"/>
      <c r="O15" s="20" t="str">
        <f>IF(ISNUMBER(SEARCH("Clinicians",'Data extraction-synthesis'!M14)),"X","")</f>
        <v/>
      </c>
      <c r="P15" s="20"/>
      <c r="Q15" s="20"/>
      <c r="R15" s="20"/>
      <c r="S15" s="20" t="str">
        <f>IF(ISNUMBER(SEARCH("Representatives of countries and national disease programs",'Data extraction-synthesis'!M14)),"X","")</f>
        <v/>
      </c>
      <c r="T15" s="20"/>
      <c r="U15" s="20"/>
      <c r="V15" s="20"/>
      <c r="W15" s="20" t="str">
        <f>IF(ISNUMBER(SEARCH("International/public health institution ",'Data extraction-synthesis'!M14)),"X","")</f>
        <v/>
      </c>
      <c r="X15" s="20"/>
      <c r="Y15" s="20"/>
      <c r="Z15" s="20"/>
      <c r="AA15" s="20" t="str">
        <f>IF(ISNUMBER(SEARCH("Experts (unspecific)",'Data extraction-synthesis'!M14)),"X","")</f>
        <v>X</v>
      </c>
      <c r="AB15" s="20" t="s">
        <v>361</v>
      </c>
      <c r="AC15" s="20" t="s">
        <v>362</v>
      </c>
      <c r="AD15" s="20" t="str">
        <f>IF(ISNUMBER(SEARCH("Laboratory experts",'Data extraction-synthesis'!M14)),"X","")</f>
        <v>X</v>
      </c>
      <c r="AE15" s="20" t="s">
        <v>361</v>
      </c>
      <c r="AF15" s="20" t="s">
        <v>362</v>
      </c>
      <c r="AG15" s="20" t="str">
        <f>IF(ISNUMBER(SEARCH("Non-profit sector",'Data extraction-synthesis'!M14)),"X","")</f>
        <v/>
      </c>
      <c r="AH15" s="20"/>
      <c r="AI15" s="20"/>
      <c r="AJ15" s="20" t="str">
        <f>IF(ISNUMBER(SEARCH("Technical/funding agencies",'Data extraction-synthesis'!M14)),"X","")</f>
        <v/>
      </c>
      <c r="AK15" s="20"/>
      <c r="AL15" s="20"/>
      <c r="AM15" s="20"/>
      <c r="AN15" s="20" t="str">
        <f>IF(ISNUMBER(SEARCH("Policy makers",'Data extraction-synthesis'!M14)),"X","")</f>
        <v/>
      </c>
      <c r="AO15" s="20"/>
      <c r="AP15" s="20"/>
      <c r="AQ15" s="20"/>
      <c r="AR15" s="20" t="str">
        <f>IF(ISNUMBER(SEARCH("Implementers",'Data extraction-synthesis'!M14)),"X","")</f>
        <v/>
      </c>
      <c r="AS15" s="20"/>
      <c r="AT15" s="20"/>
      <c r="AU15" s="20"/>
      <c r="AV15" s="20" t="str">
        <f>IF(ISNUMBER(SEARCH("Patient/community advocates",'Data extraction-synthesis'!M14)),"X","")</f>
        <v/>
      </c>
      <c r="AW15" s="20"/>
      <c r="AX15" s="20"/>
      <c r="AY15" s="20"/>
      <c r="AZ15" s="20" t="str">
        <f>IF(ISNUMBER(SEARCH("Microbiologists",'Data extraction-synthesis'!M14)),"X","")</f>
        <v/>
      </c>
      <c r="BA15" s="20"/>
      <c r="BB15" s="20"/>
      <c r="BC15" s="20"/>
      <c r="BD15" s="20" t="str">
        <f>IF(ISNUMBER(SEARCH("Modelers",'Data extraction-synthesis'!M14)),"X","")</f>
        <v>X</v>
      </c>
      <c r="BE15" s="20" t="s">
        <v>361</v>
      </c>
      <c r="BF15" s="20" t="s">
        <v>362</v>
      </c>
      <c r="BG15" s="20" t="str">
        <f>IF(ISNUMBER(SEARCH("Health economists",'Data extraction-synthesis'!M14)),"X","")</f>
        <v>X</v>
      </c>
      <c r="BH15" s="20" t="s">
        <v>361</v>
      </c>
      <c r="BI15" s="20" t="s">
        <v>362</v>
      </c>
      <c r="BJ15" s="20" t="str">
        <f>IF(ISNUMBER(SEARCH("Donors",'Data extraction-synthesis'!M14)),"X","")</f>
        <v/>
      </c>
      <c r="BK15" s="20"/>
      <c r="BL15" s="20"/>
      <c r="BM15" s="20" t="str">
        <f>IF(ISNUMBER(SEARCH("Market experts",'Data extraction-synthesis'!M14)),"X","")</f>
        <v/>
      </c>
      <c r="BN15" s="20"/>
      <c r="BO15" s="20"/>
      <c r="BP15" s="20"/>
      <c r="BQ15" s="20" t="str">
        <f>IF(ISNUMBER(SEARCH("Program manager",'Data extraction-synthesis'!M14)),"X","")</f>
        <v>X</v>
      </c>
      <c r="BR15" s="20" t="s">
        <v>361</v>
      </c>
      <c r="BS15" s="20" t="s">
        <v>362</v>
      </c>
      <c r="BT15" s="20" t="str">
        <f>IF(ISNUMBER(SEARCH("Scientific associations",'Data extraction-synthesis'!M14)),"X","")</f>
        <v/>
      </c>
      <c r="BU15" s="20"/>
      <c r="BV15" s="20"/>
      <c r="BW15" s="20"/>
      <c r="BX15" s="20" t="str">
        <f>IF(ISNUMBER(SEARCH("Strategists",'Data extraction-synthesis'!M14)),"X","")</f>
        <v/>
      </c>
      <c r="BY15" s="20"/>
      <c r="BZ15" s="20"/>
      <c r="CA15" s="20" t="str">
        <f>IF(ISNUMBER(SEARCH("Other",'Data extraction-synthesis'!M14)),"X","")</f>
        <v/>
      </c>
      <c r="CB15" s="20"/>
      <c r="CC15" s="20"/>
    </row>
    <row r="16" spans="1:81" ht="119.4">
      <c r="A16" s="1" t="s">
        <v>53</v>
      </c>
      <c r="B16" s="19" t="s">
        <v>54</v>
      </c>
      <c r="C16" s="20" t="str">
        <f>IF(ISNUMBER(SEARCH("Industry (unspecific)",'Data extraction-synthesis'!M15)),"X","")</f>
        <v/>
      </c>
      <c r="D16" s="20">
        <v>5</v>
      </c>
      <c r="E16" s="20" t="str">
        <f t="shared" si="0"/>
        <v>X</v>
      </c>
      <c r="F16" s="20" t="s">
        <v>360</v>
      </c>
      <c r="G16" s="20" t="s">
        <v>361</v>
      </c>
      <c r="H16" s="20"/>
      <c r="I16" s="20" t="str">
        <f>IF(ISNUMBER(SEARCH("Test developers",'Data extraction-synthesis'!M15)),"X","")</f>
        <v>X</v>
      </c>
      <c r="J16" s="20"/>
      <c r="K16" s="20" t="str">
        <f>IF(ISNUMBER(SEARCH("Academia/researchers",'Data extraction-synthesis'!M15)),"X","")</f>
        <v/>
      </c>
      <c r="L16" s="20"/>
      <c r="M16" s="20"/>
      <c r="N16" s="20"/>
      <c r="O16" s="20" t="str">
        <f>IF(ISNUMBER(SEARCH("Clinicians",'Data extraction-synthesis'!M15)),"X","")</f>
        <v>X</v>
      </c>
      <c r="P16" s="20" t="s">
        <v>361</v>
      </c>
      <c r="Q16" s="20" t="s">
        <v>362</v>
      </c>
      <c r="R16" s="20"/>
      <c r="S16" s="20" t="str">
        <f>IF(ISNUMBER(SEARCH("Representatives of countries and national disease programs",'Data extraction-synthesis'!M15)),"X","")</f>
        <v/>
      </c>
      <c r="T16" s="20"/>
      <c r="U16" s="20"/>
      <c r="V16" s="20"/>
      <c r="W16" s="20" t="str">
        <f>IF(ISNUMBER(SEARCH("International/public health institution ",'Data extraction-synthesis'!M15)),"X","")</f>
        <v>X</v>
      </c>
      <c r="X16" s="20" t="s">
        <v>361</v>
      </c>
      <c r="Y16" s="20" t="s">
        <v>362</v>
      </c>
      <c r="Z16" s="20"/>
      <c r="AA16" s="20" t="str">
        <f>IF(ISNUMBER(SEARCH("Experts (unspecific)",'Data extraction-synthesis'!M15)),"X","")</f>
        <v>X</v>
      </c>
      <c r="AB16" s="20" t="s">
        <v>361</v>
      </c>
      <c r="AC16" s="20" t="s">
        <v>362</v>
      </c>
      <c r="AD16" s="20" t="str">
        <f>IF(ISNUMBER(SEARCH("Laboratory experts",'Data extraction-synthesis'!M15)),"X","")</f>
        <v>X</v>
      </c>
      <c r="AE16" s="20" t="s">
        <v>361</v>
      </c>
      <c r="AF16" s="20" t="s">
        <v>362</v>
      </c>
      <c r="AG16" s="20" t="str">
        <f>IF(ISNUMBER(SEARCH("Non-profit sector",'Data extraction-synthesis'!M15)),"X","")</f>
        <v/>
      </c>
      <c r="AH16" s="20"/>
      <c r="AI16" s="20"/>
      <c r="AJ16" s="20" t="str">
        <f>IF(ISNUMBER(SEARCH("Technical/funding agencies",'Data extraction-synthesis'!M15)),"X","")</f>
        <v/>
      </c>
      <c r="AK16" s="20"/>
      <c r="AL16" s="20"/>
      <c r="AM16" s="20"/>
      <c r="AN16" s="20" t="str">
        <f>IF(ISNUMBER(SEARCH("Policy makers",'Data extraction-synthesis'!M15)),"X","")</f>
        <v/>
      </c>
      <c r="AO16" s="20"/>
      <c r="AP16" s="20"/>
      <c r="AQ16" s="20"/>
      <c r="AR16" s="20" t="str">
        <f>IF(ISNUMBER(SEARCH("Implementers",'Data extraction-synthesis'!M15)),"X","")</f>
        <v/>
      </c>
      <c r="AS16" s="20"/>
      <c r="AT16" s="20"/>
      <c r="AU16" s="20"/>
      <c r="AV16" s="20" t="str">
        <f>IF(ISNUMBER(SEARCH("Patient/community advocates",'Data extraction-synthesis'!M15)),"X","")</f>
        <v/>
      </c>
      <c r="AW16" s="20"/>
      <c r="AX16" s="20"/>
      <c r="AY16" s="20"/>
      <c r="AZ16" s="20" t="str">
        <f>IF(ISNUMBER(SEARCH("Microbiologists",'Data extraction-synthesis'!M15)),"X","")</f>
        <v>X</v>
      </c>
      <c r="BA16" s="20" t="s">
        <v>361</v>
      </c>
      <c r="BB16" s="20"/>
      <c r="BC16" s="20" t="s">
        <v>362</v>
      </c>
      <c r="BD16" s="20" t="str">
        <f>IF(ISNUMBER(SEARCH("Modelers",'Data extraction-synthesis'!M15)),"X","")</f>
        <v/>
      </c>
      <c r="BE16" s="20"/>
      <c r="BF16" s="20"/>
      <c r="BG16" s="20" t="str">
        <f>IF(ISNUMBER(SEARCH("Health economists",'Data extraction-synthesis'!M15)),"X","")</f>
        <v/>
      </c>
      <c r="BH16" s="20"/>
      <c r="BI16" s="20"/>
      <c r="BJ16" s="20" t="str">
        <f>IF(ISNUMBER(SEARCH("Donors",'Data extraction-synthesis'!M15)),"X","")</f>
        <v/>
      </c>
      <c r="BK16" s="20"/>
      <c r="BL16" s="20"/>
      <c r="BM16" s="20" t="str">
        <f>IF(ISNUMBER(SEARCH("Market experts",'Data extraction-synthesis'!M15)),"X","")</f>
        <v/>
      </c>
      <c r="BN16" s="20"/>
      <c r="BO16" s="20"/>
      <c r="BP16" s="20"/>
      <c r="BQ16" s="20" t="str">
        <f>IF(ISNUMBER(SEARCH("Program manager",'Data extraction-synthesis'!M15)),"X","")</f>
        <v/>
      </c>
      <c r="BR16" s="20"/>
      <c r="BS16" s="20"/>
      <c r="BT16" s="20" t="str">
        <f>IF(ISNUMBER(SEARCH("Scientific associations",'Data extraction-synthesis'!M15)),"X","")</f>
        <v/>
      </c>
      <c r="BU16" s="20"/>
      <c r="BV16" s="20"/>
      <c r="BW16" s="20"/>
      <c r="BX16" s="20" t="str">
        <f>IF(ISNUMBER(SEARCH("Strategists",'Data extraction-synthesis'!M15)),"X","")</f>
        <v/>
      </c>
      <c r="BY16" s="20"/>
      <c r="BZ16" s="20"/>
      <c r="CA16" s="20" t="str">
        <f>IF(ISNUMBER(SEARCH("Other",'Data extraction-synthesis'!M15)),"X","")</f>
        <v/>
      </c>
      <c r="CB16" s="20"/>
      <c r="CC16" s="20"/>
    </row>
    <row r="17" spans="1:81" ht="79.8">
      <c r="A17" s="1" t="s">
        <v>55</v>
      </c>
      <c r="B17" s="19" t="s">
        <v>56</v>
      </c>
      <c r="C17" s="20" t="str">
        <f>IF(ISNUMBER(SEARCH("Industry (unspecific)",'Data extraction-synthesis'!M16)),"X","")</f>
        <v>X</v>
      </c>
      <c r="D17" s="20"/>
      <c r="E17" s="20" t="str">
        <f t="shared" si="0"/>
        <v>X</v>
      </c>
      <c r="F17" s="20" t="s">
        <v>362</v>
      </c>
      <c r="G17" s="20"/>
      <c r="H17" s="20"/>
      <c r="I17" s="20" t="str">
        <f>IF(ISNUMBER(SEARCH("Test developers",'Data extraction-synthesis'!M16)),"X","")</f>
        <v/>
      </c>
      <c r="J17" s="20"/>
      <c r="K17" s="20" t="str">
        <f>IF(ISNUMBER(SEARCH("Academia/researchers",'Data extraction-synthesis'!M16)),"X","")</f>
        <v>X</v>
      </c>
      <c r="L17" s="20" t="s">
        <v>362</v>
      </c>
      <c r="M17" s="20"/>
      <c r="N17" s="20"/>
      <c r="O17" s="20" t="str">
        <f>IF(ISNUMBER(SEARCH("Clinicians",'Data extraction-synthesis'!M16)),"X","")</f>
        <v>X</v>
      </c>
      <c r="P17" s="20" t="s">
        <v>362</v>
      </c>
      <c r="Q17" s="20"/>
      <c r="R17" s="20"/>
      <c r="S17" s="20" t="str">
        <f>IF(ISNUMBER(SEARCH("Representatives of countries and national disease programs",'Data extraction-synthesis'!M16)),"X","")</f>
        <v>X</v>
      </c>
      <c r="T17" s="20" t="s">
        <v>362</v>
      </c>
      <c r="U17" s="20"/>
      <c r="V17" s="20"/>
      <c r="W17" s="20" t="str">
        <f>IF(ISNUMBER(SEARCH("International/public health institution ",'Data extraction-synthesis'!M16)),"X","")</f>
        <v>X</v>
      </c>
      <c r="X17" s="68" t="s">
        <v>360</v>
      </c>
      <c r="Y17" s="20" t="s">
        <v>362</v>
      </c>
      <c r="Z17" s="20"/>
      <c r="AA17" s="20" t="str">
        <f>IF(ISNUMBER(SEARCH("Experts (unspecific)",'Data extraction-synthesis'!M16)),"X","")</f>
        <v>X</v>
      </c>
      <c r="AB17" s="20" t="s">
        <v>362</v>
      </c>
      <c r="AC17" s="20"/>
      <c r="AD17" s="20" t="str">
        <f>IF(ISNUMBER(SEARCH("Laboratory experts",'Data extraction-synthesis'!M16)),"X","")</f>
        <v/>
      </c>
      <c r="AE17" s="20"/>
      <c r="AF17" s="20"/>
      <c r="AG17" s="80" t="s">
        <v>198</v>
      </c>
      <c r="AH17" s="20" t="s">
        <v>362</v>
      </c>
      <c r="AI17" s="20"/>
      <c r="AJ17" s="20" t="str">
        <f>IF(ISNUMBER(SEARCH("Technical/funding agencies",'Data extraction-synthesis'!M16)),"X","")</f>
        <v/>
      </c>
      <c r="AK17" s="20"/>
      <c r="AL17" s="20"/>
      <c r="AM17" s="20"/>
      <c r="AN17" s="80" t="s">
        <v>198</v>
      </c>
      <c r="AO17" s="20" t="s">
        <v>362</v>
      </c>
      <c r="AP17" s="20"/>
      <c r="AQ17" s="20"/>
      <c r="AR17" s="20" t="str">
        <f>IF(ISNUMBER(SEARCH("Implementers",'Data extraction-synthesis'!M16)),"X","")</f>
        <v/>
      </c>
      <c r="AS17" s="20"/>
      <c r="AT17" s="20"/>
      <c r="AU17" s="20"/>
      <c r="AV17" s="20" t="str">
        <f>IF(ISNUMBER(SEARCH("Patient/community advocates",'Data extraction-synthesis'!M16)),"X","")</f>
        <v/>
      </c>
      <c r="AW17" s="20"/>
      <c r="AX17" s="20"/>
      <c r="AY17" s="20"/>
      <c r="AZ17" s="20" t="str">
        <f>IF(ISNUMBER(SEARCH("Microbiologists",'Data extraction-synthesis'!M16)),"X","")</f>
        <v/>
      </c>
      <c r="BA17" s="20"/>
      <c r="BB17" s="20"/>
      <c r="BC17" s="20"/>
      <c r="BD17" s="20" t="str">
        <f>IF(ISNUMBER(SEARCH("Modelers",'Data extraction-synthesis'!M16)),"X","")</f>
        <v/>
      </c>
      <c r="BE17" s="20"/>
      <c r="BF17" s="20"/>
      <c r="BG17" s="20" t="str">
        <f>IF(ISNUMBER(SEARCH("Health economists",'Data extraction-synthesis'!M16)),"X","")</f>
        <v/>
      </c>
      <c r="BH17" s="20"/>
      <c r="BI17" s="20"/>
      <c r="BJ17" s="20" t="str">
        <f>IF(ISNUMBER(SEARCH("Donors",'Data extraction-synthesis'!M16)),"X","")</f>
        <v/>
      </c>
      <c r="BK17" s="20"/>
      <c r="BL17" s="20"/>
      <c r="BM17" s="20" t="str">
        <f>IF(ISNUMBER(SEARCH("Market experts",'Data extraction-synthesis'!M16)),"X","")</f>
        <v/>
      </c>
      <c r="BN17" s="20"/>
      <c r="BO17" s="20"/>
      <c r="BP17" s="20"/>
      <c r="BQ17" s="20" t="str">
        <f>IF(ISNUMBER(SEARCH("Program manager",'Data extraction-synthesis'!M16)),"X","")</f>
        <v/>
      </c>
      <c r="BR17" s="20"/>
      <c r="BS17" s="20"/>
      <c r="BT17" s="20" t="str">
        <f>IF(ISNUMBER(SEARCH("Scientific associations",'Data extraction-synthesis'!M16)),"X","")</f>
        <v/>
      </c>
      <c r="BU17" s="20"/>
      <c r="BV17" s="20"/>
      <c r="BW17" s="20"/>
      <c r="BX17" s="20" t="str">
        <f>IF(ISNUMBER(SEARCH("Strategists",'Data extraction-synthesis'!M16)),"X","")</f>
        <v/>
      </c>
      <c r="BY17" s="20"/>
      <c r="BZ17" s="20"/>
      <c r="CA17" s="20" t="str">
        <f>IF(ISNUMBER(SEARCH("Other",'Data extraction-synthesis'!M16)),"X","")</f>
        <v/>
      </c>
      <c r="CB17" s="20"/>
      <c r="CC17" s="20"/>
    </row>
    <row r="18" spans="1:81" ht="40.2">
      <c r="A18" s="1" t="s">
        <v>58</v>
      </c>
      <c r="B18" s="19" t="s">
        <v>59</v>
      </c>
      <c r="C18" s="20" t="str">
        <f>IF(ISNUMBER(SEARCH("Industry (unspecific)",'Data extraction-synthesis'!M17)),"X","")</f>
        <v>X</v>
      </c>
      <c r="D18" s="20">
        <v>6</v>
      </c>
      <c r="E18" s="20" t="str">
        <f t="shared" si="0"/>
        <v>X</v>
      </c>
      <c r="F18" s="20" t="s">
        <v>360</v>
      </c>
      <c r="G18" s="20"/>
      <c r="H18" s="20" t="s">
        <v>362</v>
      </c>
      <c r="I18" s="20" t="str">
        <f>IF(ISNUMBER(SEARCH("Test developers",'Data extraction-synthesis'!M17)),"X","")</f>
        <v/>
      </c>
      <c r="J18" s="20"/>
      <c r="K18" s="20" t="str">
        <f>IF(ISNUMBER(SEARCH("Academia/researchers",'Data extraction-synthesis'!M17)),"X","")</f>
        <v>X</v>
      </c>
      <c r="L18" s="20" t="s">
        <v>360</v>
      </c>
      <c r="M18" s="20" t="s">
        <v>361</v>
      </c>
      <c r="N18" s="20" t="s">
        <v>362</v>
      </c>
      <c r="O18" s="20" t="str">
        <f>IF(ISNUMBER(SEARCH("Clinicians",'Data extraction-synthesis'!M17)),"X","")</f>
        <v/>
      </c>
      <c r="P18" s="20"/>
      <c r="Q18" s="20"/>
      <c r="R18" s="20"/>
      <c r="S18" s="20" t="str">
        <f>IF(ISNUMBER(SEARCH("Representatives of countries and national disease programs",'Data extraction-synthesis'!M17)),"X","")</f>
        <v/>
      </c>
      <c r="T18" s="20"/>
      <c r="U18" s="20"/>
      <c r="V18" s="20"/>
      <c r="W18" s="20" t="str">
        <f>IF(ISNUMBER(SEARCH("International/public health institution ",'Data extraction-synthesis'!M17)),"X","")</f>
        <v>X</v>
      </c>
      <c r="X18" s="20" t="s">
        <v>360</v>
      </c>
      <c r="Y18" s="20" t="s">
        <v>361</v>
      </c>
      <c r="Z18" s="20" t="s">
        <v>362</v>
      </c>
      <c r="AA18" s="20" t="str">
        <f>IF(ISNUMBER(SEARCH("Experts (unspecific)",'Data extraction-synthesis'!M17)),"X","")</f>
        <v/>
      </c>
      <c r="AB18" s="20"/>
      <c r="AC18" s="20"/>
      <c r="AD18" s="20" t="str">
        <f>IF(ISNUMBER(SEARCH("Laboratory experts",'Data extraction-synthesis'!M17)),"X","")</f>
        <v/>
      </c>
      <c r="AE18" s="20"/>
      <c r="AF18" s="20"/>
      <c r="AG18" s="20" t="str">
        <f>IF(ISNUMBER(SEARCH("Non-profit sector",'Data extraction-synthesis'!M17)),"X","")</f>
        <v>X</v>
      </c>
      <c r="AH18" s="20"/>
      <c r="AI18" s="20"/>
      <c r="AJ18" s="20" t="str">
        <f>IF(ISNUMBER(SEARCH("Technical/funding agencies",'Data extraction-synthesis'!M17)),"X","")</f>
        <v/>
      </c>
      <c r="AK18" s="20"/>
      <c r="AL18" s="20"/>
      <c r="AM18" s="20"/>
      <c r="AN18" s="20" t="str">
        <f>IF(ISNUMBER(SEARCH("Policy makers",'Data extraction-synthesis'!M17)),"X","")</f>
        <v>X</v>
      </c>
      <c r="AO18" s="20" t="s">
        <v>360</v>
      </c>
      <c r="AP18" s="20" t="s">
        <v>361</v>
      </c>
      <c r="AQ18" s="20" t="s">
        <v>362</v>
      </c>
      <c r="AR18" s="20" t="str">
        <f>IF(ISNUMBER(SEARCH("Implementers",'Data extraction-synthesis'!M17)),"X","")</f>
        <v/>
      </c>
      <c r="AS18" s="20"/>
      <c r="AT18" s="20"/>
      <c r="AU18" s="20"/>
      <c r="AV18" s="20" t="str">
        <f>IF(ISNUMBER(SEARCH("Patient/community advocates",'Data extraction-synthesis'!M17)),"X","")</f>
        <v/>
      </c>
      <c r="AW18" s="20"/>
      <c r="AX18" s="20"/>
      <c r="AY18" s="20"/>
      <c r="AZ18" s="20" t="str">
        <f>IF(ISNUMBER(SEARCH("Microbiologists",'Data extraction-synthesis'!M17)),"X","")</f>
        <v/>
      </c>
      <c r="BA18" s="20"/>
      <c r="BB18" s="20"/>
      <c r="BC18" s="20"/>
      <c r="BD18" s="20" t="str">
        <f>IF(ISNUMBER(SEARCH("Modelers",'Data extraction-synthesis'!M17)),"X","")</f>
        <v/>
      </c>
      <c r="BE18" s="20"/>
      <c r="BF18" s="20"/>
      <c r="BG18" s="20" t="str">
        <f>IF(ISNUMBER(SEARCH("Health economists",'Data extraction-synthesis'!M17)),"X","")</f>
        <v/>
      </c>
      <c r="BH18" s="20"/>
      <c r="BI18" s="20"/>
      <c r="BJ18" s="20" t="str">
        <f>IF(ISNUMBER(SEARCH("Donors",'Data extraction-synthesis'!M17)),"X","")</f>
        <v/>
      </c>
      <c r="BK18" s="20"/>
      <c r="BL18" s="20"/>
      <c r="BM18" s="20" t="str">
        <f>IF(ISNUMBER(SEARCH("Market experts",'Data extraction-synthesis'!M17)),"X","")</f>
        <v/>
      </c>
      <c r="BN18" s="20"/>
      <c r="BO18" s="20"/>
      <c r="BP18" s="20"/>
      <c r="BQ18" s="20" t="str">
        <f>IF(ISNUMBER(SEARCH("Program manager",'Data extraction-synthesis'!M17)),"X","")</f>
        <v/>
      </c>
      <c r="BR18" s="20"/>
      <c r="BS18" s="20"/>
      <c r="BT18" s="20" t="str">
        <f>IF(ISNUMBER(SEARCH("Scientific associations",'Data extraction-synthesis'!M17)),"X","")</f>
        <v>X</v>
      </c>
      <c r="BU18" s="20" t="s">
        <v>360</v>
      </c>
      <c r="BV18" s="20" t="s">
        <v>361</v>
      </c>
      <c r="BW18" s="20" t="s">
        <v>362</v>
      </c>
      <c r="BX18" s="20" t="str">
        <f>IF(ISNUMBER(SEARCH("Strategists",'Data extraction-synthesis'!M17)),"X","")</f>
        <v/>
      </c>
      <c r="BY18" s="20"/>
      <c r="BZ18" s="20"/>
      <c r="CA18" s="20" t="str">
        <f>IF(ISNUMBER(SEARCH("Other",'Data extraction-synthesis'!M17)),"X","")</f>
        <v/>
      </c>
      <c r="CB18" s="20"/>
      <c r="CC18" s="20"/>
    </row>
    <row r="19" spans="1:81" ht="79.8">
      <c r="A19" s="1" t="s">
        <v>58</v>
      </c>
      <c r="B19" s="19" t="s">
        <v>60</v>
      </c>
      <c r="C19" s="20" t="str">
        <f>IF(ISNUMBER(SEARCH("Industry (unspecific)",'Data extraction-synthesis'!M18)),"X","")</f>
        <v>X</v>
      </c>
      <c r="D19" s="20"/>
      <c r="E19" s="20" t="str">
        <f t="shared" si="0"/>
        <v>X</v>
      </c>
      <c r="F19" s="20" t="s">
        <v>362</v>
      </c>
      <c r="G19" s="20"/>
      <c r="H19" s="20"/>
      <c r="I19" s="20" t="str">
        <f>IF(ISNUMBER(SEARCH("Test developers",'Data extraction-synthesis'!M18)),"X","")</f>
        <v/>
      </c>
      <c r="J19" s="20"/>
      <c r="K19" s="20" t="str">
        <f>IF(ISNUMBER(SEARCH("Academia/researchers",'Data extraction-synthesis'!M18)),"X","")</f>
        <v>X</v>
      </c>
      <c r="L19" s="20" t="s">
        <v>362</v>
      </c>
      <c r="M19" s="20"/>
      <c r="N19" s="20"/>
      <c r="O19" s="20" t="str">
        <f>IF(ISNUMBER(SEARCH("Clinicians",'Data extraction-synthesis'!M18)),"X","")</f>
        <v/>
      </c>
      <c r="P19" s="20"/>
      <c r="Q19" s="20"/>
      <c r="R19" s="20"/>
      <c r="S19" s="20" t="str">
        <f>IF(ISNUMBER(SEARCH("Representatives of countries and national disease programs",'Data extraction-synthesis'!M18)),"X","")</f>
        <v/>
      </c>
      <c r="T19" s="20"/>
      <c r="U19" s="20"/>
      <c r="V19" s="20"/>
      <c r="W19" s="20" t="str">
        <f>IF(ISNUMBER(SEARCH("International/public health institution ",'Data extraction-synthesis'!M18)),"X","")</f>
        <v/>
      </c>
      <c r="X19" s="20"/>
      <c r="Y19" s="20"/>
      <c r="Z19" s="20"/>
      <c r="AA19" s="20" t="str">
        <f>IF(ISNUMBER(SEARCH("Experts (unspecific)",'Data extraction-synthesis'!M18)),"X","")</f>
        <v/>
      </c>
      <c r="AB19" s="20"/>
      <c r="AC19" s="20"/>
      <c r="AD19" s="20" t="str">
        <f>IF(ISNUMBER(SEARCH("Laboratory experts",'Data extraction-synthesis'!M18)),"X","")</f>
        <v/>
      </c>
      <c r="AE19" s="20"/>
      <c r="AF19" s="20"/>
      <c r="AG19" s="20" t="str">
        <f>IF(ISNUMBER(SEARCH("Non-profit sector",'Data extraction-synthesis'!M18)),"X","")</f>
        <v>X</v>
      </c>
      <c r="AH19" s="20" t="s">
        <v>362</v>
      </c>
      <c r="AI19" s="20"/>
      <c r="AJ19" s="20" t="str">
        <f>IF(ISNUMBER(SEARCH("Technical/funding agencies",'Data extraction-synthesis'!M18)),"X","")</f>
        <v/>
      </c>
      <c r="AK19" s="20"/>
      <c r="AL19" s="20"/>
      <c r="AM19" s="20"/>
      <c r="AN19" s="20" t="str">
        <f>IF(ISNUMBER(SEARCH("Policy makers",'Data extraction-synthesis'!M18)),"X","")</f>
        <v/>
      </c>
      <c r="AO19" s="20"/>
      <c r="AP19" s="20"/>
      <c r="AQ19" s="20"/>
      <c r="AR19" s="20" t="str">
        <f>IF(ISNUMBER(SEARCH("Implementers",'Data extraction-synthesis'!M18)),"X","")</f>
        <v/>
      </c>
      <c r="AS19" s="20"/>
      <c r="AT19" s="20"/>
      <c r="AU19" s="20"/>
      <c r="AV19" s="20" t="str">
        <f>IF(ISNUMBER(SEARCH("Patient/community advocates",'Data extraction-synthesis'!M18)),"X","")</f>
        <v/>
      </c>
      <c r="AW19" s="20"/>
      <c r="AX19" s="20"/>
      <c r="AY19" s="20"/>
      <c r="AZ19" s="20" t="str">
        <f>IF(ISNUMBER(SEARCH("Microbiologists",'Data extraction-synthesis'!M18)),"X","")</f>
        <v/>
      </c>
      <c r="BA19" s="20"/>
      <c r="BB19" s="20"/>
      <c r="BC19" s="20"/>
      <c r="BD19" s="20" t="str">
        <f>IF(ISNUMBER(SEARCH("Modelers",'Data extraction-synthesis'!M18)),"X","")</f>
        <v/>
      </c>
      <c r="BE19" s="20"/>
      <c r="BF19" s="20"/>
      <c r="BG19" s="20" t="str">
        <f>IF(ISNUMBER(SEARCH("Health economists",'Data extraction-synthesis'!M18)),"X","")</f>
        <v/>
      </c>
      <c r="BH19" s="20"/>
      <c r="BI19" s="20"/>
      <c r="BJ19" s="20" t="str">
        <f>IF(ISNUMBER(SEARCH("Donors",'Data extraction-synthesis'!M18)),"X","")</f>
        <v/>
      </c>
      <c r="BK19" s="20"/>
      <c r="BL19" s="20"/>
      <c r="BM19" s="20" t="str">
        <f>IF(ISNUMBER(SEARCH("Market experts",'Data extraction-synthesis'!M18)),"X","")</f>
        <v/>
      </c>
      <c r="BN19" s="20"/>
      <c r="BO19" s="20"/>
      <c r="BP19" s="20"/>
      <c r="BQ19" s="20" t="str">
        <f>IF(ISNUMBER(SEARCH("Program manager",'Data extraction-synthesis'!M18)),"X","")</f>
        <v/>
      </c>
      <c r="BR19" s="20"/>
      <c r="BS19" s="20"/>
      <c r="BT19" s="20" t="str">
        <f>IF(ISNUMBER(SEARCH("Scientific associations",'Data extraction-synthesis'!M18)),"X","")</f>
        <v/>
      </c>
      <c r="BU19" s="20"/>
      <c r="BV19" s="20"/>
      <c r="BW19" s="20"/>
      <c r="BX19" s="20" t="str">
        <f>IF(ISNUMBER(SEARCH("Strategists",'Data extraction-synthesis'!M18)),"X","")</f>
        <v/>
      </c>
      <c r="BY19" s="20"/>
      <c r="BZ19" s="20"/>
      <c r="CA19" s="20" t="str">
        <f>IF(ISNUMBER(SEARCH("Other",'Data extraction-synthesis'!M18)),"X","")</f>
        <v/>
      </c>
      <c r="CB19" s="20"/>
      <c r="CC19" s="20"/>
    </row>
    <row r="20" spans="1:81" ht="119.4">
      <c r="A20" s="1" t="s">
        <v>61</v>
      </c>
      <c r="B20" s="19" t="s">
        <v>62</v>
      </c>
      <c r="C20" s="20" t="str">
        <f>IF(ISNUMBER(SEARCH("Industry (unspecific)",'Data extraction-synthesis'!M19)),"X","")</f>
        <v/>
      </c>
      <c r="D20" s="20"/>
      <c r="E20" s="20" t="str">
        <f t="shared" si="0"/>
        <v/>
      </c>
      <c r="F20" s="20"/>
      <c r="G20" s="20"/>
      <c r="H20" s="20"/>
      <c r="I20" s="20" t="str">
        <f>IF(ISNUMBER(SEARCH("Test developers",'Data extraction-synthesis'!M19)),"X","")</f>
        <v/>
      </c>
      <c r="J20" s="20"/>
      <c r="K20" s="20" t="str">
        <f>IF(ISNUMBER(SEARCH("Academia/researchers",'Data extraction-synthesis'!M19)),"X","")</f>
        <v/>
      </c>
      <c r="L20" s="20"/>
      <c r="M20" s="20"/>
      <c r="N20" s="20"/>
      <c r="O20" s="20" t="str">
        <f>IF(ISNUMBER(SEARCH("Clinicians",'Data extraction-synthesis'!M19)),"X","")</f>
        <v/>
      </c>
      <c r="P20" s="20"/>
      <c r="Q20" s="20"/>
      <c r="R20" s="20"/>
      <c r="S20" s="20" t="str">
        <f>IF(ISNUMBER(SEARCH("Representatives of countries and national disease programs",'Data extraction-synthesis'!M19)),"X","")</f>
        <v/>
      </c>
      <c r="T20" s="20"/>
      <c r="U20" s="20"/>
      <c r="V20" s="20"/>
      <c r="W20" s="20" t="str">
        <f>IF(ISNUMBER(SEARCH("International/public health institution ",'Data extraction-synthesis'!M19)),"X","")</f>
        <v/>
      </c>
      <c r="X20" s="20"/>
      <c r="Y20" s="20"/>
      <c r="Z20" s="20"/>
      <c r="AA20" s="20" t="str">
        <f>IF(ISNUMBER(SEARCH("Experts (unspecific)",'Data extraction-synthesis'!M19)),"X","")</f>
        <v/>
      </c>
      <c r="AB20" s="20"/>
      <c r="AC20" s="20"/>
      <c r="AD20" s="20" t="str">
        <f>IF(ISNUMBER(SEARCH("Laboratory experts",'Data extraction-synthesis'!M19)),"X","")</f>
        <v/>
      </c>
      <c r="AE20" s="20"/>
      <c r="AF20" s="20"/>
      <c r="AG20" s="20" t="str">
        <f>IF(ISNUMBER(SEARCH("Non-profit sector",'Data extraction-synthesis'!M19)),"X","")</f>
        <v/>
      </c>
      <c r="AH20" s="20"/>
      <c r="AI20" s="20"/>
      <c r="AJ20" s="20" t="str">
        <f>IF(ISNUMBER(SEARCH("Technical/funding agencies",'Data extraction-synthesis'!M19)),"X","")</f>
        <v/>
      </c>
      <c r="AK20" s="20"/>
      <c r="AL20" s="20"/>
      <c r="AM20" s="20"/>
      <c r="AN20" s="20" t="str">
        <f>IF(ISNUMBER(SEARCH("Policy makers",'Data extraction-synthesis'!M19)),"X","")</f>
        <v/>
      </c>
      <c r="AO20" s="20"/>
      <c r="AP20" s="20"/>
      <c r="AQ20" s="20"/>
      <c r="AR20" s="20" t="str">
        <f>IF(ISNUMBER(SEARCH("Implementers",'Data extraction-synthesis'!M19)),"X","")</f>
        <v/>
      </c>
      <c r="AS20" s="20"/>
      <c r="AT20" s="20"/>
      <c r="AU20" s="20"/>
      <c r="AV20" s="20" t="str">
        <f>IF(ISNUMBER(SEARCH("Patient/community advocates",'Data extraction-synthesis'!M19)),"X","")</f>
        <v/>
      </c>
      <c r="AW20" s="20"/>
      <c r="AX20" s="20"/>
      <c r="AY20" s="20"/>
      <c r="AZ20" s="20" t="str">
        <f>IF(ISNUMBER(SEARCH("Microbiologists",'Data extraction-synthesis'!M19)),"X","")</f>
        <v/>
      </c>
      <c r="BA20" s="20"/>
      <c r="BB20" s="20"/>
      <c r="BC20" s="20"/>
      <c r="BD20" s="20" t="str">
        <f>IF(ISNUMBER(SEARCH("Modelers",'Data extraction-synthesis'!M19)),"X","")</f>
        <v/>
      </c>
      <c r="BE20" s="20"/>
      <c r="BF20" s="20"/>
      <c r="BG20" s="20" t="str">
        <f>IF(ISNUMBER(SEARCH("Health economists",'Data extraction-synthesis'!M19)),"X","")</f>
        <v/>
      </c>
      <c r="BH20" s="20"/>
      <c r="BI20" s="20"/>
      <c r="BJ20" s="20" t="str">
        <f>IF(ISNUMBER(SEARCH("Donors",'Data extraction-synthesis'!M19)),"X","")</f>
        <v/>
      </c>
      <c r="BK20" s="20"/>
      <c r="BL20" s="20"/>
      <c r="BM20" s="20" t="str">
        <f>IF(ISNUMBER(SEARCH("Market experts",'Data extraction-synthesis'!M19)),"X","")</f>
        <v/>
      </c>
      <c r="BN20" s="20"/>
      <c r="BO20" s="20"/>
      <c r="BP20" s="20"/>
      <c r="BQ20" s="20" t="str">
        <f>IF(ISNUMBER(SEARCH("Program manager",'Data extraction-synthesis'!M19)),"X","")</f>
        <v/>
      </c>
      <c r="BR20" s="20"/>
      <c r="BS20" s="20"/>
      <c r="BT20" s="20" t="str">
        <f>IF(ISNUMBER(SEARCH("Scientific associations",'Data extraction-synthesis'!M19)),"X","")</f>
        <v/>
      </c>
      <c r="BU20" s="20"/>
      <c r="BV20" s="20"/>
      <c r="BW20" s="20"/>
      <c r="BX20" s="20" t="str">
        <f>IF(ISNUMBER(SEARCH("Strategists",'Data extraction-synthesis'!M19)),"X","")</f>
        <v/>
      </c>
      <c r="BY20" s="20"/>
      <c r="BZ20" s="20"/>
      <c r="CA20" s="20" t="str">
        <f>IF(ISNUMBER(SEARCH("Other",'Data extraction-synthesis'!M19)),"X","")</f>
        <v/>
      </c>
      <c r="CB20" s="20"/>
      <c r="CC20" s="20"/>
    </row>
    <row r="21" spans="1:81" ht="66.6">
      <c r="A21" s="1" t="s">
        <v>61</v>
      </c>
      <c r="B21" s="19" t="s">
        <v>63</v>
      </c>
      <c r="C21" s="20" t="str">
        <f>IF(ISNUMBER(SEARCH("Industry (unspecific)",'Data extraction-synthesis'!M20)),"X","")</f>
        <v>X</v>
      </c>
      <c r="D21" s="20">
        <v>7</v>
      </c>
      <c r="E21" s="20" t="str">
        <f t="shared" si="0"/>
        <v>X</v>
      </c>
      <c r="F21" s="20" t="s">
        <v>360</v>
      </c>
      <c r="G21" s="20" t="s">
        <v>361</v>
      </c>
      <c r="H21" s="20"/>
      <c r="I21" s="20" t="str">
        <f>IF(ISNUMBER(SEARCH("Test developers",'Data extraction-synthesis'!M20)),"X","")</f>
        <v/>
      </c>
      <c r="J21" s="20"/>
      <c r="K21" s="20" t="str">
        <f>IF(ISNUMBER(SEARCH("Academia/researchers",'Data extraction-synthesis'!M20)),"X","")</f>
        <v>X</v>
      </c>
      <c r="L21" s="20" t="s">
        <v>360</v>
      </c>
      <c r="M21" s="20" t="s">
        <v>361</v>
      </c>
      <c r="N21" s="20"/>
      <c r="O21" s="20" t="str">
        <f>IF(ISNUMBER(SEARCH("Clinicians",'Data extraction-synthesis'!M20)),"X","")</f>
        <v/>
      </c>
      <c r="P21" s="20"/>
      <c r="Q21" s="20"/>
      <c r="R21" s="20"/>
      <c r="S21" s="20" t="str">
        <f>IF(ISNUMBER(SEARCH("Representatives of countries and national disease programs",'Data extraction-synthesis'!M20)),"X","")</f>
        <v>X</v>
      </c>
      <c r="T21" s="20" t="s">
        <v>360</v>
      </c>
      <c r="U21" s="20" t="s">
        <v>361</v>
      </c>
      <c r="V21" s="20"/>
      <c r="W21" s="20" t="str">
        <f>IF(ISNUMBER(SEARCH("International/public health institution ",'Data extraction-synthesis'!M20)),"X","")</f>
        <v/>
      </c>
      <c r="X21" s="20"/>
      <c r="Y21" s="20"/>
      <c r="Z21" s="20"/>
      <c r="AA21" s="20" t="str">
        <f>IF(ISNUMBER(SEARCH("Experts (unspecific)",'Data extraction-synthesis'!M20)),"X","")</f>
        <v/>
      </c>
      <c r="AB21" s="20"/>
      <c r="AC21" s="20"/>
      <c r="AD21" s="20" t="str">
        <f>IF(ISNUMBER(SEARCH("Laboratory experts",'Data extraction-synthesis'!M20)),"X","")</f>
        <v/>
      </c>
      <c r="AE21" s="20"/>
      <c r="AF21" s="20"/>
      <c r="AG21" s="20" t="str">
        <f>IF(ISNUMBER(SEARCH("Non-profit sector",'Data extraction-synthesis'!M20)),"X","")</f>
        <v>X</v>
      </c>
      <c r="AH21" s="20" t="s">
        <v>360</v>
      </c>
      <c r="AI21" s="20" t="s">
        <v>361</v>
      </c>
      <c r="AJ21" s="20" t="str">
        <f>IF(ISNUMBER(SEARCH("Technical/funding agencies",'Data extraction-synthesis'!M20)),"X","")</f>
        <v/>
      </c>
      <c r="AK21" s="20"/>
      <c r="AL21" s="20"/>
      <c r="AM21" s="20"/>
      <c r="AN21" s="20" t="str">
        <f>IF(ISNUMBER(SEARCH("Policy makers",'Data extraction-synthesis'!M20)),"X","")</f>
        <v>X</v>
      </c>
      <c r="AO21" s="20" t="s">
        <v>360</v>
      </c>
      <c r="AP21" s="20" t="s">
        <v>361</v>
      </c>
      <c r="AQ21" s="20"/>
      <c r="AR21" s="20" t="str">
        <f>IF(ISNUMBER(SEARCH("Implementers",'Data extraction-synthesis'!M20)),"X","")</f>
        <v/>
      </c>
      <c r="AS21" s="20"/>
      <c r="AT21" s="20"/>
      <c r="AU21" s="20"/>
      <c r="AV21" s="20" t="str">
        <f>IF(ISNUMBER(SEARCH("Patient/community advocates",'Data extraction-synthesis'!M20)),"X","")</f>
        <v/>
      </c>
      <c r="AW21" s="20"/>
      <c r="AX21" s="20"/>
      <c r="AY21" s="20"/>
      <c r="AZ21" s="20" t="str">
        <f>IF(ISNUMBER(SEARCH("Microbiologists",'Data extraction-synthesis'!M20)),"X","")</f>
        <v/>
      </c>
      <c r="BA21" s="20"/>
      <c r="BB21" s="20"/>
      <c r="BC21" s="20"/>
      <c r="BD21" s="20" t="str">
        <f>IF(ISNUMBER(SEARCH("Modelers",'Data extraction-synthesis'!M20)),"X","")</f>
        <v/>
      </c>
      <c r="BE21" s="20"/>
      <c r="BF21" s="20"/>
      <c r="BG21" s="20" t="str">
        <f>IF(ISNUMBER(SEARCH("Health economists",'Data extraction-synthesis'!M20)),"X","")</f>
        <v/>
      </c>
      <c r="BH21" s="20"/>
      <c r="BI21" s="20"/>
      <c r="BJ21" s="20" t="str">
        <f>IF(ISNUMBER(SEARCH("Donors",'Data extraction-synthesis'!M20)),"X","")</f>
        <v>X</v>
      </c>
      <c r="BK21" s="20" t="s">
        <v>360</v>
      </c>
      <c r="BL21" s="20" t="s">
        <v>361</v>
      </c>
      <c r="BM21" s="20" t="str">
        <f>IF(ISNUMBER(SEARCH("Market experts",'Data extraction-synthesis'!M20)),"X","")</f>
        <v/>
      </c>
      <c r="BN21" s="20"/>
      <c r="BO21" s="20"/>
      <c r="BP21" s="20"/>
      <c r="BQ21" s="20" t="str">
        <f>IF(ISNUMBER(SEARCH("Program manager",'Data extraction-synthesis'!M20)),"X","")</f>
        <v/>
      </c>
      <c r="BR21" s="20"/>
      <c r="BS21" s="20"/>
      <c r="BT21" s="20" t="str">
        <f>IF(ISNUMBER(SEARCH("Scientific associations",'Data extraction-synthesis'!M20)),"X","")</f>
        <v/>
      </c>
      <c r="BU21" s="20"/>
      <c r="BV21" s="20"/>
      <c r="BW21" s="20"/>
      <c r="BX21" s="20" t="str">
        <f>IF(ISNUMBER(SEARCH("Strategists",'Data extraction-synthesis'!M20)),"X","")</f>
        <v/>
      </c>
      <c r="BY21" s="20"/>
      <c r="BZ21" s="20"/>
      <c r="CA21" s="20" t="str">
        <f>IF(ISNUMBER(SEARCH("Other",'Data extraction-synthesis'!M20)),"X","")</f>
        <v/>
      </c>
      <c r="CB21" s="20"/>
      <c r="CC21" s="20"/>
    </row>
    <row r="22" spans="1:81" ht="40.2">
      <c r="A22" s="1" t="s">
        <v>61</v>
      </c>
      <c r="B22" s="19" t="s">
        <v>64</v>
      </c>
      <c r="C22" s="20" t="str">
        <f>IF(ISNUMBER(SEARCH("Industry (unspecific)",'Data extraction-synthesis'!M21)),"X","")</f>
        <v/>
      </c>
      <c r="D22" s="20"/>
      <c r="E22" s="20" t="str">
        <f t="shared" si="0"/>
        <v/>
      </c>
      <c r="F22" s="20"/>
      <c r="G22" s="20"/>
      <c r="H22" s="20"/>
      <c r="I22" s="20" t="str">
        <f>IF(ISNUMBER(SEARCH("Test developers",'Data extraction-synthesis'!M21)),"X","")</f>
        <v/>
      </c>
      <c r="J22" s="20"/>
      <c r="K22" s="20" t="str">
        <f>IF(ISNUMBER(SEARCH("Academia/researchers",'Data extraction-synthesis'!M21)),"X","")</f>
        <v/>
      </c>
      <c r="L22" s="20"/>
      <c r="M22" s="20"/>
      <c r="N22" s="20"/>
      <c r="O22" s="20" t="str">
        <f>IF(ISNUMBER(SEARCH("Clinicians",'Data extraction-synthesis'!M21)),"X","")</f>
        <v/>
      </c>
      <c r="P22" s="20"/>
      <c r="Q22" s="20"/>
      <c r="R22" s="20"/>
      <c r="S22" s="20" t="str">
        <f>IF(ISNUMBER(SEARCH("Representatives of countries and national disease programs",'Data extraction-synthesis'!M21)),"X","")</f>
        <v/>
      </c>
      <c r="T22" s="20"/>
      <c r="U22" s="20"/>
      <c r="V22" s="20"/>
      <c r="W22" s="20" t="str">
        <f>IF(ISNUMBER(SEARCH("International/public health institution ",'Data extraction-synthesis'!M21)),"X","")</f>
        <v/>
      </c>
      <c r="X22" s="20"/>
      <c r="Y22" s="20"/>
      <c r="Z22" s="20"/>
      <c r="AA22" s="20" t="str">
        <f>IF(ISNUMBER(SEARCH("Experts (unspecific)",'Data extraction-synthesis'!M21)),"X","")</f>
        <v/>
      </c>
      <c r="AB22" s="20"/>
      <c r="AC22" s="20"/>
      <c r="AD22" s="20" t="str">
        <f>IF(ISNUMBER(SEARCH("Laboratory experts",'Data extraction-synthesis'!M21)),"X","")</f>
        <v/>
      </c>
      <c r="AE22" s="20"/>
      <c r="AF22" s="20"/>
      <c r="AG22" s="20" t="str">
        <f>IF(ISNUMBER(SEARCH("Non-profit sector",'Data extraction-synthesis'!M21)),"X","")</f>
        <v/>
      </c>
      <c r="AH22" s="20"/>
      <c r="AI22" s="20"/>
      <c r="AJ22" s="20" t="str">
        <f>IF(ISNUMBER(SEARCH("Technical/funding agencies",'Data extraction-synthesis'!M21)),"X","")</f>
        <v/>
      </c>
      <c r="AK22" s="20"/>
      <c r="AL22" s="20"/>
      <c r="AM22" s="20"/>
      <c r="AN22" s="20" t="str">
        <f>IF(ISNUMBER(SEARCH("Policy makers",'Data extraction-synthesis'!M21)),"X","")</f>
        <v/>
      </c>
      <c r="AO22" s="20"/>
      <c r="AP22" s="20"/>
      <c r="AQ22" s="20"/>
      <c r="AR22" s="20" t="str">
        <f>IF(ISNUMBER(SEARCH("Implementers",'Data extraction-synthesis'!M21)),"X","")</f>
        <v/>
      </c>
      <c r="AS22" s="20"/>
      <c r="AT22" s="20"/>
      <c r="AU22" s="20"/>
      <c r="AV22" s="20" t="str">
        <f>IF(ISNUMBER(SEARCH("Patient/community advocates",'Data extraction-synthesis'!M21)),"X","")</f>
        <v/>
      </c>
      <c r="AW22" s="20"/>
      <c r="AX22" s="20"/>
      <c r="AY22" s="20"/>
      <c r="AZ22" s="20" t="str">
        <f>IF(ISNUMBER(SEARCH("Microbiologists",'Data extraction-synthesis'!M21)),"X","")</f>
        <v/>
      </c>
      <c r="BA22" s="20"/>
      <c r="BB22" s="20"/>
      <c r="BC22" s="20"/>
      <c r="BD22" s="20" t="str">
        <f>IF(ISNUMBER(SEARCH("Modelers",'Data extraction-synthesis'!M21)),"X","")</f>
        <v/>
      </c>
      <c r="BE22" s="20"/>
      <c r="BF22" s="20"/>
      <c r="BG22" s="20" t="str">
        <f>IF(ISNUMBER(SEARCH("Health economists",'Data extraction-synthesis'!M21)),"X","")</f>
        <v/>
      </c>
      <c r="BH22" s="20"/>
      <c r="BI22" s="20"/>
      <c r="BJ22" s="20" t="str">
        <f>IF(ISNUMBER(SEARCH("Donors",'Data extraction-synthesis'!M21)),"X","")</f>
        <v/>
      </c>
      <c r="BK22" s="20"/>
      <c r="BL22" s="20"/>
      <c r="BM22" s="20" t="str">
        <f>IF(ISNUMBER(SEARCH("Market experts",'Data extraction-synthesis'!M21)),"X","")</f>
        <v/>
      </c>
      <c r="BN22" s="20"/>
      <c r="BO22" s="20"/>
      <c r="BP22" s="20"/>
      <c r="BQ22" s="20" t="str">
        <f>IF(ISNUMBER(SEARCH("Program manager",'Data extraction-synthesis'!M21)),"X","")</f>
        <v/>
      </c>
      <c r="BR22" s="20"/>
      <c r="BS22" s="20"/>
      <c r="BT22" s="20" t="str">
        <f>IF(ISNUMBER(SEARCH("Scientific associations",'Data extraction-synthesis'!M21)),"X","")</f>
        <v/>
      </c>
      <c r="BU22" s="20"/>
      <c r="BV22" s="20"/>
      <c r="BW22" s="20"/>
      <c r="BX22" s="20" t="str">
        <f>IF(ISNUMBER(SEARCH("Strategists",'Data extraction-synthesis'!M21)),"X","")</f>
        <v/>
      </c>
      <c r="BY22" s="20"/>
      <c r="BZ22" s="20"/>
      <c r="CA22" s="20" t="str">
        <f>IF(ISNUMBER(SEARCH("Other",'Data extraction-synthesis'!M21)),"X","")</f>
        <v/>
      </c>
      <c r="CB22" s="20"/>
      <c r="CC22" s="20"/>
    </row>
    <row r="23" spans="1:81" ht="40.2">
      <c r="A23" s="1" t="s">
        <v>65</v>
      </c>
      <c r="B23" s="19" t="s">
        <v>66</v>
      </c>
      <c r="C23" s="20" t="str">
        <f>IF(ISNUMBER(SEARCH("Industry (unspecific)",'Data extraction-synthesis'!M22)),"X","")</f>
        <v/>
      </c>
      <c r="D23" s="20"/>
      <c r="E23" s="20" t="str">
        <f t="shared" si="0"/>
        <v/>
      </c>
      <c r="F23" s="20"/>
      <c r="G23" s="20"/>
      <c r="H23" s="20"/>
      <c r="I23" s="20" t="str">
        <f>IF(ISNUMBER(SEARCH("Test developers",'Data extraction-synthesis'!M22)),"X","")</f>
        <v/>
      </c>
      <c r="J23" s="20"/>
      <c r="K23" s="20" t="str">
        <f>IF(ISNUMBER(SEARCH("Academia/researchers",'Data extraction-synthesis'!M22)),"X","")</f>
        <v/>
      </c>
      <c r="L23" s="20"/>
      <c r="M23" s="20"/>
      <c r="N23" s="20"/>
      <c r="O23" s="20" t="str">
        <f>IF(ISNUMBER(SEARCH("Clinicians",'Data extraction-synthesis'!M22)),"X","")</f>
        <v/>
      </c>
      <c r="P23" s="20"/>
      <c r="Q23" s="20"/>
      <c r="R23" s="20"/>
      <c r="S23" s="20" t="str">
        <f>IF(ISNUMBER(SEARCH("Representatives of countries and national disease programs",'Data extraction-synthesis'!M22)),"X","")</f>
        <v/>
      </c>
      <c r="T23" s="20"/>
      <c r="U23" s="20"/>
      <c r="V23" s="20"/>
      <c r="W23" s="20" t="str">
        <f>IF(ISNUMBER(SEARCH("International/public health institution ",'Data extraction-synthesis'!M22)),"X","")</f>
        <v/>
      </c>
      <c r="X23" s="20"/>
      <c r="Y23" s="20"/>
      <c r="Z23" s="20"/>
      <c r="AA23" s="20" t="str">
        <f>IF(ISNUMBER(SEARCH("Experts (unspecific)",'Data extraction-synthesis'!M22)),"X","")</f>
        <v/>
      </c>
      <c r="AB23" s="20"/>
      <c r="AC23" s="20"/>
      <c r="AD23" s="20" t="str">
        <f>IF(ISNUMBER(SEARCH("Laboratory experts",'Data extraction-synthesis'!M22)),"X","")</f>
        <v/>
      </c>
      <c r="AE23" s="20"/>
      <c r="AF23" s="20"/>
      <c r="AG23" s="20" t="str">
        <f>IF(ISNUMBER(SEARCH("Non-profit sector",'Data extraction-synthesis'!M22)),"X","")</f>
        <v/>
      </c>
      <c r="AH23" s="20"/>
      <c r="AI23" s="20"/>
      <c r="AJ23" s="20" t="str">
        <f>IF(ISNUMBER(SEARCH("Technical/funding agencies",'Data extraction-synthesis'!M22)),"X","")</f>
        <v/>
      </c>
      <c r="AK23" s="20"/>
      <c r="AL23" s="20"/>
      <c r="AM23" s="20"/>
      <c r="AN23" s="20" t="str">
        <f>IF(ISNUMBER(SEARCH("Policy makers",'Data extraction-synthesis'!M22)),"X","")</f>
        <v/>
      </c>
      <c r="AO23" s="20"/>
      <c r="AP23" s="20"/>
      <c r="AQ23" s="20"/>
      <c r="AR23" s="20" t="str">
        <f>IF(ISNUMBER(SEARCH("Implementers",'Data extraction-synthesis'!M22)),"X","")</f>
        <v/>
      </c>
      <c r="AS23" s="20"/>
      <c r="AT23" s="20"/>
      <c r="AU23" s="20"/>
      <c r="AV23" s="20" t="str">
        <f>IF(ISNUMBER(SEARCH("Patient/community advocates",'Data extraction-synthesis'!M22)),"X","")</f>
        <v/>
      </c>
      <c r="AW23" s="20"/>
      <c r="AX23" s="20"/>
      <c r="AY23" s="20"/>
      <c r="AZ23" s="20" t="str">
        <f>IF(ISNUMBER(SEARCH("Microbiologists",'Data extraction-synthesis'!M22)),"X","")</f>
        <v/>
      </c>
      <c r="BA23" s="20"/>
      <c r="BB23" s="20"/>
      <c r="BC23" s="20"/>
      <c r="BD23" s="20" t="str">
        <f>IF(ISNUMBER(SEARCH("Modelers",'Data extraction-synthesis'!M22)),"X","")</f>
        <v/>
      </c>
      <c r="BE23" s="20"/>
      <c r="BF23" s="20"/>
      <c r="BG23" s="20" t="str">
        <f>IF(ISNUMBER(SEARCH("Health economists",'Data extraction-synthesis'!M22)),"X","")</f>
        <v/>
      </c>
      <c r="BH23" s="20"/>
      <c r="BI23" s="20"/>
      <c r="BJ23" s="20" t="str">
        <f>IF(ISNUMBER(SEARCH("Donors",'Data extraction-synthesis'!M22)),"X","")</f>
        <v/>
      </c>
      <c r="BK23" s="20"/>
      <c r="BL23" s="20"/>
      <c r="BM23" s="20" t="str">
        <f>IF(ISNUMBER(SEARCH("Market experts",'Data extraction-synthesis'!M22)),"X","")</f>
        <v/>
      </c>
      <c r="BN23" s="20"/>
      <c r="BO23" s="20"/>
      <c r="BP23" s="20"/>
      <c r="BQ23" s="20" t="str">
        <f>IF(ISNUMBER(SEARCH("Program manager",'Data extraction-synthesis'!M22)),"X","")</f>
        <v/>
      </c>
      <c r="BR23" s="20"/>
      <c r="BS23" s="20"/>
      <c r="BT23" s="20" t="str">
        <f>IF(ISNUMBER(SEARCH("Scientific associations",'Data extraction-synthesis'!M22)),"X","")</f>
        <v/>
      </c>
      <c r="BU23" s="20"/>
      <c r="BV23" s="20"/>
      <c r="BW23" s="20"/>
      <c r="BX23" s="20" t="str">
        <f>IF(ISNUMBER(SEARCH("Strategists",'Data extraction-synthesis'!M22)),"X","")</f>
        <v/>
      </c>
      <c r="BY23" s="20"/>
      <c r="BZ23" s="20"/>
      <c r="CA23" s="20" t="str">
        <f>IF(ISNUMBER(SEARCH("Other",'Data extraction-synthesis'!M22)),"X","")</f>
        <v/>
      </c>
      <c r="CB23" s="20"/>
      <c r="CC23" s="20"/>
    </row>
    <row r="24" spans="1:81" ht="40.2">
      <c r="A24" s="1" t="s">
        <v>65</v>
      </c>
      <c r="B24" s="19" t="s">
        <v>67</v>
      </c>
      <c r="C24" s="20" t="str">
        <f>IF(ISNUMBER(SEARCH("Industry (unspecific)",'Data extraction-synthesis'!M23)),"X","")</f>
        <v/>
      </c>
      <c r="D24" s="20"/>
      <c r="E24" s="20" t="str">
        <f t="shared" si="0"/>
        <v/>
      </c>
      <c r="F24" s="20"/>
      <c r="G24" s="20"/>
      <c r="H24" s="20"/>
      <c r="I24" s="20" t="str">
        <f>IF(ISNUMBER(SEARCH("Test developers",'Data extraction-synthesis'!M23)),"X","")</f>
        <v/>
      </c>
      <c r="J24" s="20"/>
      <c r="K24" s="20" t="str">
        <f>IF(ISNUMBER(SEARCH("Academia/researchers",'Data extraction-synthesis'!M23)),"X","")</f>
        <v/>
      </c>
      <c r="L24" s="20"/>
      <c r="M24" s="20"/>
      <c r="N24" s="20"/>
      <c r="O24" s="20" t="str">
        <f>IF(ISNUMBER(SEARCH("Clinicians",'Data extraction-synthesis'!M23)),"X","")</f>
        <v/>
      </c>
      <c r="P24" s="20"/>
      <c r="Q24" s="20"/>
      <c r="R24" s="20"/>
      <c r="S24" s="20" t="str">
        <f>IF(ISNUMBER(SEARCH("Representatives of countries and national disease programs",'Data extraction-synthesis'!M23)),"X","")</f>
        <v/>
      </c>
      <c r="T24" s="20"/>
      <c r="U24" s="20"/>
      <c r="V24" s="20"/>
      <c r="W24" s="20" t="str">
        <f>IF(ISNUMBER(SEARCH("International/public health institution ",'Data extraction-synthesis'!M23)),"X","")</f>
        <v/>
      </c>
      <c r="X24" s="20"/>
      <c r="Y24" s="20"/>
      <c r="Z24" s="20"/>
      <c r="AA24" s="20" t="str">
        <f>IF(ISNUMBER(SEARCH("Experts (unspecific)",'Data extraction-synthesis'!M23)),"X","")</f>
        <v/>
      </c>
      <c r="AB24" s="20"/>
      <c r="AC24" s="20"/>
      <c r="AD24" s="20" t="str">
        <f>IF(ISNUMBER(SEARCH("Laboratory experts",'Data extraction-synthesis'!M23)),"X","")</f>
        <v/>
      </c>
      <c r="AE24" s="20"/>
      <c r="AF24" s="20"/>
      <c r="AG24" s="20" t="str">
        <f>IF(ISNUMBER(SEARCH("Non-profit sector",'Data extraction-synthesis'!M23)),"X","")</f>
        <v/>
      </c>
      <c r="AH24" s="20"/>
      <c r="AI24" s="20"/>
      <c r="AJ24" s="20" t="str">
        <f>IF(ISNUMBER(SEARCH("Technical/funding agencies",'Data extraction-synthesis'!M23)),"X","")</f>
        <v/>
      </c>
      <c r="AK24" s="20"/>
      <c r="AL24" s="20"/>
      <c r="AM24" s="20"/>
      <c r="AN24" s="20" t="str">
        <f>IF(ISNUMBER(SEARCH("Policy makers",'Data extraction-synthesis'!M23)),"X","")</f>
        <v/>
      </c>
      <c r="AO24" s="20"/>
      <c r="AP24" s="20"/>
      <c r="AQ24" s="20"/>
      <c r="AR24" s="20" t="str">
        <f>IF(ISNUMBER(SEARCH("Implementers",'Data extraction-synthesis'!M23)),"X","")</f>
        <v/>
      </c>
      <c r="AS24" s="20"/>
      <c r="AT24" s="20"/>
      <c r="AU24" s="20"/>
      <c r="AV24" s="20" t="str">
        <f>IF(ISNUMBER(SEARCH("Patient/community advocates",'Data extraction-synthesis'!M23)),"X","")</f>
        <v/>
      </c>
      <c r="AW24" s="20"/>
      <c r="AX24" s="20"/>
      <c r="AY24" s="20"/>
      <c r="AZ24" s="20" t="str">
        <f>IF(ISNUMBER(SEARCH("Microbiologists",'Data extraction-synthesis'!M23)),"X","")</f>
        <v/>
      </c>
      <c r="BA24" s="20"/>
      <c r="BB24" s="20"/>
      <c r="BC24" s="20"/>
      <c r="BD24" s="20" t="str">
        <f>IF(ISNUMBER(SEARCH("Modelers",'Data extraction-synthesis'!M23)),"X","")</f>
        <v/>
      </c>
      <c r="BE24" s="20"/>
      <c r="BF24" s="20"/>
      <c r="BG24" s="20" t="str">
        <f>IF(ISNUMBER(SEARCH("Health economists",'Data extraction-synthesis'!M23)),"X","")</f>
        <v/>
      </c>
      <c r="BH24" s="20"/>
      <c r="BI24" s="20"/>
      <c r="BJ24" s="20" t="str">
        <f>IF(ISNUMBER(SEARCH("Donors",'Data extraction-synthesis'!M23)),"X","")</f>
        <v/>
      </c>
      <c r="BK24" s="20"/>
      <c r="BL24" s="20"/>
      <c r="BM24" s="20" t="str">
        <f>IF(ISNUMBER(SEARCH("Market experts",'Data extraction-synthesis'!M23)),"X","")</f>
        <v/>
      </c>
      <c r="BN24" s="20"/>
      <c r="BO24" s="20"/>
      <c r="BP24" s="20"/>
      <c r="BQ24" s="20" t="str">
        <f>IF(ISNUMBER(SEARCH("Program manager",'Data extraction-synthesis'!M23)),"X","")</f>
        <v/>
      </c>
      <c r="BR24" s="20"/>
      <c r="BS24" s="20"/>
      <c r="BT24" s="20" t="str">
        <f>IF(ISNUMBER(SEARCH("Scientific associations",'Data extraction-synthesis'!M23)),"X","")</f>
        <v/>
      </c>
      <c r="BU24" s="20"/>
      <c r="BV24" s="20"/>
      <c r="BW24" s="20"/>
      <c r="BX24" s="20" t="str">
        <f>IF(ISNUMBER(SEARCH("Strategists",'Data extraction-synthesis'!M23)),"X","")</f>
        <v/>
      </c>
      <c r="BY24" s="20"/>
      <c r="BZ24" s="20"/>
      <c r="CA24" s="20" t="str">
        <f>IF(ISNUMBER(SEARCH("Other",'Data extraction-synthesis'!M23)),"X","")</f>
        <v/>
      </c>
      <c r="CB24" s="20"/>
      <c r="CC24" s="20"/>
    </row>
    <row r="25" spans="1:81" ht="66.6">
      <c r="A25" s="1" t="s">
        <v>36</v>
      </c>
      <c r="B25" s="22" t="s">
        <v>68</v>
      </c>
      <c r="C25" s="20" t="str">
        <f>IF(ISNUMBER(SEARCH("Industry (unspecific)",'Data extraction-synthesis'!M24)),"X","")</f>
        <v>X</v>
      </c>
      <c r="D25" s="20"/>
      <c r="E25" s="20" t="str">
        <f t="shared" si="0"/>
        <v>X</v>
      </c>
      <c r="F25" s="20" t="s">
        <v>362</v>
      </c>
      <c r="G25" s="20"/>
      <c r="H25" s="20"/>
      <c r="I25" s="20" t="str">
        <f>IF(ISNUMBER(SEARCH("Test developers",'Data extraction-synthesis'!M24)),"X","")</f>
        <v/>
      </c>
      <c r="J25" s="20"/>
      <c r="K25" s="20" t="str">
        <f>IF(ISNUMBER(SEARCH("Academia/researchers",'Data extraction-synthesis'!M24)),"X","")</f>
        <v>X</v>
      </c>
      <c r="L25" s="68" t="s">
        <v>361</v>
      </c>
      <c r="M25" s="20" t="s">
        <v>362</v>
      </c>
      <c r="N25" s="20"/>
      <c r="O25" s="20" t="str">
        <f>IF(ISNUMBER(SEARCH("Clinicians",'Data extraction-synthesis'!M24)),"X","")</f>
        <v>X</v>
      </c>
      <c r="P25" s="20" t="s">
        <v>362</v>
      </c>
      <c r="Q25" s="20"/>
      <c r="R25" s="20"/>
      <c r="S25" s="20" t="str">
        <f>IF(ISNUMBER(SEARCH("Representatives of countries and national disease programs",'Data extraction-synthesis'!M24)),"X","")</f>
        <v>X</v>
      </c>
      <c r="T25" s="20" t="s">
        <v>361</v>
      </c>
      <c r="U25" s="20" t="s">
        <v>362</v>
      </c>
      <c r="V25" s="20"/>
      <c r="W25" s="20" t="str">
        <f>IF(ISNUMBER(SEARCH("International/public health institution ",'Data extraction-synthesis'!M24)),"X","")</f>
        <v>X</v>
      </c>
      <c r="X25" s="20" t="s">
        <v>362</v>
      </c>
      <c r="Y25" s="20" t="s">
        <v>361</v>
      </c>
      <c r="Z25" s="20"/>
      <c r="AA25" s="20" t="str">
        <f>IF(ISNUMBER(SEARCH("Experts (unspecific)",'Data extraction-synthesis'!M24)),"X","")</f>
        <v/>
      </c>
      <c r="AB25" s="20"/>
      <c r="AC25" s="20"/>
      <c r="AD25" s="20" t="str">
        <f>IF(ISNUMBER(SEARCH("Laboratory experts",'Data extraction-synthesis'!M24)),"X","")</f>
        <v/>
      </c>
      <c r="AE25" s="20"/>
      <c r="AF25" s="20"/>
      <c r="AG25" s="20" t="str">
        <f>IF(ISNUMBER(SEARCH("Non-profit sector",'Data extraction-synthesis'!M24)),"X","")</f>
        <v/>
      </c>
      <c r="AH25" s="20"/>
      <c r="AI25" s="20"/>
      <c r="AJ25" s="20" t="str">
        <f>IF(ISNUMBER(SEARCH("Technical/funding agencies",'Data extraction-synthesis'!M24)),"X","")</f>
        <v>X</v>
      </c>
      <c r="AK25" s="20" t="s">
        <v>362</v>
      </c>
      <c r="AL25" s="20"/>
      <c r="AM25" s="20"/>
      <c r="AN25" s="20" t="str">
        <f>IF(ISNUMBER(SEARCH("Policy makers",'Data extraction-synthesis'!M24)),"X","")</f>
        <v/>
      </c>
      <c r="AO25" s="20"/>
      <c r="AP25" s="20"/>
      <c r="AQ25" s="20"/>
      <c r="AR25" s="20" t="str">
        <f>IF(ISNUMBER(SEARCH("Implementers",'Data extraction-synthesis'!M24)),"X","")</f>
        <v>X</v>
      </c>
      <c r="AS25" s="20" t="s">
        <v>362</v>
      </c>
      <c r="AT25" s="20"/>
      <c r="AU25" s="20"/>
      <c r="AV25" s="20" t="str">
        <f>IF(ISNUMBER(SEARCH("Patient/community advocates",'Data extraction-synthesis'!M24)),"X","")</f>
        <v/>
      </c>
      <c r="AW25" s="20"/>
      <c r="AX25" s="20"/>
      <c r="AY25" s="20"/>
      <c r="AZ25" s="20" t="str">
        <f>IF(ISNUMBER(SEARCH("Microbiologists",'Data extraction-synthesis'!M24)),"X","")</f>
        <v/>
      </c>
      <c r="BA25" s="20"/>
      <c r="BB25" s="20"/>
      <c r="BC25" s="20"/>
      <c r="BD25" s="20" t="str">
        <f>IF(ISNUMBER(SEARCH("Modelers",'Data extraction-synthesis'!M24)),"X","")</f>
        <v/>
      </c>
      <c r="BE25" s="20"/>
      <c r="BF25" s="20"/>
      <c r="BG25" s="20" t="str">
        <f>IF(ISNUMBER(SEARCH("Health economists",'Data extraction-synthesis'!M24)),"X","")</f>
        <v/>
      </c>
      <c r="BH25" s="20"/>
      <c r="BI25" s="20"/>
      <c r="BJ25" s="20" t="str">
        <f>IF(ISNUMBER(SEARCH("Donors",'Data extraction-synthesis'!M24)),"X","")</f>
        <v>X</v>
      </c>
      <c r="BK25" s="20" t="s">
        <v>362</v>
      </c>
      <c r="BL25" s="20"/>
      <c r="BM25" s="20" t="str">
        <f>IF(ISNUMBER(SEARCH("Market experts",'Data extraction-synthesis'!M24)),"X","")</f>
        <v/>
      </c>
      <c r="BN25" s="20"/>
      <c r="BO25" s="20"/>
      <c r="BP25" s="20"/>
      <c r="BQ25" s="20" t="str">
        <f>IF(ISNUMBER(SEARCH("Program manager",'Data extraction-synthesis'!M24)),"X","")</f>
        <v/>
      </c>
      <c r="BR25" s="20"/>
      <c r="BS25" s="20"/>
      <c r="BT25" s="20" t="str">
        <f>IF(ISNUMBER(SEARCH("Scientific associations",'Data extraction-synthesis'!M24)),"X","")</f>
        <v/>
      </c>
      <c r="BU25" s="20"/>
      <c r="BV25" s="20"/>
      <c r="BW25" s="20"/>
      <c r="BX25" s="20" t="str">
        <f>IF(ISNUMBER(SEARCH("Strategists",'Data extraction-synthesis'!M24)),"X","")</f>
        <v/>
      </c>
      <c r="BY25" s="20"/>
      <c r="BZ25" s="20"/>
      <c r="CA25" s="20" t="str">
        <f>IF(ISNUMBER(SEARCH("Other",'Data extraction-synthesis'!M24)),"X","")</f>
        <v/>
      </c>
      <c r="CB25" s="20"/>
      <c r="CC25" s="20"/>
    </row>
    <row r="26" spans="1:81" ht="106.2">
      <c r="A26" s="1" t="s">
        <v>36</v>
      </c>
      <c r="B26" s="19" t="s">
        <v>69</v>
      </c>
      <c r="C26" s="20" t="str">
        <f>IF(ISNUMBER(SEARCH("Industry (unspecific)",'Data extraction-synthesis'!M25)),"X","")</f>
        <v/>
      </c>
      <c r="D26" s="20"/>
      <c r="E26" s="20" t="str">
        <f t="shared" si="0"/>
        <v>X</v>
      </c>
      <c r="F26" s="20" t="s">
        <v>362</v>
      </c>
      <c r="G26" s="20"/>
      <c r="H26" s="20"/>
      <c r="I26" s="20" t="str">
        <f>IF(ISNUMBER(SEARCH("Test developers",'Data extraction-synthesis'!M25)),"X","")</f>
        <v>X</v>
      </c>
      <c r="J26" s="20"/>
      <c r="K26" s="20" t="str">
        <f>IF(ISNUMBER(SEARCH("Academia/researchers",'Data extraction-synthesis'!M25)),"X","")</f>
        <v>X</v>
      </c>
      <c r="L26" s="20" t="s">
        <v>362</v>
      </c>
      <c r="M26" s="20" t="s">
        <v>361</v>
      </c>
      <c r="N26" s="20"/>
      <c r="O26" s="20" t="str">
        <f>IF(ISNUMBER(SEARCH("Clinicians",'Data extraction-synthesis'!M25)),"X","")</f>
        <v/>
      </c>
      <c r="P26" s="20"/>
      <c r="Q26" s="20"/>
      <c r="R26" s="20"/>
      <c r="S26" s="20" t="str">
        <f>IF(ISNUMBER(SEARCH("Representatives of countries and national disease programs",'Data extraction-synthesis'!M25)),"X","")</f>
        <v>X</v>
      </c>
      <c r="T26" s="20" t="s">
        <v>362</v>
      </c>
      <c r="U26" s="20"/>
      <c r="V26" s="20"/>
      <c r="W26" s="20" t="str">
        <f>IF(ISNUMBER(SEARCH("International/public health institution ",'Data extraction-synthesis'!M25)),"X","")</f>
        <v>X</v>
      </c>
      <c r="X26" s="20" t="s">
        <v>362</v>
      </c>
      <c r="Y26" s="20" t="s">
        <v>361</v>
      </c>
      <c r="Z26" s="20"/>
      <c r="AA26" s="20" t="str">
        <f>IF(ISNUMBER(SEARCH("Experts (unspecific)",'Data extraction-synthesis'!M25)),"X","")</f>
        <v/>
      </c>
      <c r="AB26" s="20"/>
      <c r="AC26" s="20"/>
      <c r="AD26" s="20" t="str">
        <f>IF(ISNUMBER(SEARCH("Laboratory experts",'Data extraction-synthesis'!M25)),"X","")</f>
        <v/>
      </c>
      <c r="AE26" s="20"/>
      <c r="AF26" s="20"/>
      <c r="AG26" s="20" t="str">
        <f>IF(ISNUMBER(SEARCH("Non-profit sector",'Data extraction-synthesis'!M25)),"X","")</f>
        <v>X</v>
      </c>
      <c r="AH26" s="20" t="s">
        <v>362</v>
      </c>
      <c r="AI26" s="20"/>
      <c r="AJ26" s="20" t="str">
        <f>IF(ISNUMBER(SEARCH("Technical/funding agencies",'Data extraction-synthesis'!M25)),"X","")</f>
        <v>X</v>
      </c>
      <c r="AK26" s="20" t="s">
        <v>362</v>
      </c>
      <c r="AL26" s="20"/>
      <c r="AM26" s="20"/>
      <c r="AN26" s="20" t="str">
        <f>IF(ISNUMBER(SEARCH("Policy makers",'Data extraction-synthesis'!M25)),"X","")</f>
        <v/>
      </c>
      <c r="AO26" s="20"/>
      <c r="AP26" s="20"/>
      <c r="AQ26" s="20"/>
      <c r="AR26" s="20" t="str">
        <f>IF(ISNUMBER(SEARCH("Implementers",'Data extraction-synthesis'!M25)),"X","")</f>
        <v/>
      </c>
      <c r="AS26" s="20"/>
      <c r="AT26" s="20"/>
      <c r="AU26" s="20"/>
      <c r="AV26" s="20" t="str">
        <f>IF(ISNUMBER(SEARCH("Patient/community advocates",'Data extraction-synthesis'!M25)),"X","")</f>
        <v>X</v>
      </c>
      <c r="AW26" s="20" t="s">
        <v>362</v>
      </c>
      <c r="AX26" s="20"/>
      <c r="AY26" s="20"/>
      <c r="AZ26" s="20" t="str">
        <f>IF(ISNUMBER(SEARCH("Microbiologists",'Data extraction-synthesis'!M25)),"X","")</f>
        <v/>
      </c>
      <c r="BA26" s="20"/>
      <c r="BB26" s="20"/>
      <c r="BC26" s="20"/>
      <c r="BD26" s="20" t="str">
        <f>IF(ISNUMBER(SEARCH("Modelers",'Data extraction-synthesis'!M25)),"X","")</f>
        <v/>
      </c>
      <c r="BE26" s="20"/>
      <c r="BF26" s="20"/>
      <c r="BG26" s="20" t="str">
        <f>IF(ISNUMBER(SEARCH("Health economists",'Data extraction-synthesis'!M25)),"X","")</f>
        <v/>
      </c>
      <c r="BH26" s="20"/>
      <c r="BI26" s="20"/>
      <c r="BJ26" s="80" t="s">
        <v>198</v>
      </c>
      <c r="BK26" s="20" t="s">
        <v>361</v>
      </c>
      <c r="BL26" s="20"/>
      <c r="BM26" s="20" t="str">
        <f>IF(ISNUMBER(SEARCH("Market experts",'Data extraction-synthesis'!M25)),"X","")</f>
        <v/>
      </c>
      <c r="BN26" s="20"/>
      <c r="BO26" s="20"/>
      <c r="BP26" s="20"/>
      <c r="BQ26" s="20" t="str">
        <f>IF(ISNUMBER(SEARCH("Program manager",'Data extraction-synthesis'!M25)),"X","")</f>
        <v/>
      </c>
      <c r="BR26" s="20"/>
      <c r="BS26" s="20"/>
      <c r="BT26" s="20" t="str">
        <f>IF(ISNUMBER(SEARCH("Scientific associations",'Data extraction-synthesis'!M25)),"X","")</f>
        <v>X</v>
      </c>
      <c r="BU26" s="20" t="s">
        <v>362</v>
      </c>
      <c r="BV26" s="20" t="s">
        <v>361</v>
      </c>
      <c r="BW26" s="20"/>
      <c r="BX26" s="20" t="str">
        <f>IF(ISNUMBER(SEARCH("Strategists",'Data extraction-synthesis'!M25)),"X","")</f>
        <v/>
      </c>
      <c r="BY26" s="20"/>
      <c r="BZ26" s="20"/>
      <c r="CA26" s="20" t="str">
        <f>IF(ISNUMBER(SEARCH("Other",'Data extraction-synthesis'!M25)),"X","")</f>
        <v/>
      </c>
      <c r="CB26" s="20"/>
      <c r="CC26" s="20"/>
    </row>
    <row r="27" spans="1:81" ht="119.4">
      <c r="A27" s="1" t="s">
        <v>36</v>
      </c>
      <c r="B27" s="19" t="s">
        <v>70</v>
      </c>
      <c r="C27" s="20" t="str">
        <f>IF(ISNUMBER(SEARCH("Industry (unspecific)",'Data extraction-synthesis'!M26)),"X","")</f>
        <v/>
      </c>
      <c r="D27" s="20"/>
      <c r="E27" s="20" t="str">
        <f t="shared" si="0"/>
        <v/>
      </c>
      <c r="F27" s="20"/>
      <c r="G27" s="20"/>
      <c r="H27" s="20"/>
      <c r="I27" s="20" t="str">
        <f>IF(ISNUMBER(SEARCH("Test developers",'Data extraction-synthesis'!M26)),"X","")</f>
        <v/>
      </c>
      <c r="J27" s="20"/>
      <c r="K27" s="20" t="str">
        <f>IF(ISNUMBER(SEARCH("Academia/researchers",'Data extraction-synthesis'!M26)),"X","")</f>
        <v/>
      </c>
      <c r="L27" s="20"/>
      <c r="M27" s="20"/>
      <c r="N27" s="20"/>
      <c r="O27" s="20" t="str">
        <f>IF(ISNUMBER(SEARCH("Clinicians",'Data extraction-synthesis'!M26)),"X","")</f>
        <v/>
      </c>
      <c r="P27" s="20"/>
      <c r="Q27" s="20"/>
      <c r="R27" s="20"/>
      <c r="S27" s="20" t="str">
        <f>IF(ISNUMBER(SEARCH("Representatives of countries and national disease programs",'Data extraction-synthesis'!M26)),"X","")</f>
        <v/>
      </c>
      <c r="T27" s="20"/>
      <c r="U27" s="20"/>
      <c r="V27" s="20"/>
      <c r="W27" s="20" t="str">
        <f>IF(ISNUMBER(SEARCH("International/public health institution ",'Data extraction-synthesis'!M26)),"X","")</f>
        <v/>
      </c>
      <c r="X27" s="20"/>
      <c r="Y27" s="20"/>
      <c r="Z27" s="20"/>
      <c r="AA27" s="20" t="str">
        <f>IF(ISNUMBER(SEARCH("Experts (unspecific)",'Data extraction-synthesis'!M26)),"X","")</f>
        <v/>
      </c>
      <c r="AB27" s="20"/>
      <c r="AC27" s="20"/>
      <c r="AD27" s="20" t="str">
        <f>IF(ISNUMBER(SEARCH("Laboratory experts",'Data extraction-synthesis'!M26)),"X","")</f>
        <v/>
      </c>
      <c r="AE27" s="20"/>
      <c r="AF27" s="20"/>
      <c r="AG27" s="20" t="str">
        <f>IF(ISNUMBER(SEARCH("Non-profit sector",'Data extraction-synthesis'!M26)),"X","")</f>
        <v/>
      </c>
      <c r="AH27" s="20"/>
      <c r="AI27" s="20"/>
      <c r="AJ27" s="20" t="str">
        <f>IF(ISNUMBER(SEARCH("Technical/funding agencies",'Data extraction-synthesis'!M26)),"X","")</f>
        <v/>
      </c>
      <c r="AK27" s="20"/>
      <c r="AL27" s="20"/>
      <c r="AM27" s="20"/>
      <c r="AN27" s="20" t="str">
        <f>IF(ISNUMBER(SEARCH("Policy makers",'Data extraction-synthesis'!M26)),"X","")</f>
        <v/>
      </c>
      <c r="AO27" s="20"/>
      <c r="AP27" s="20"/>
      <c r="AQ27" s="20"/>
      <c r="AR27" s="20" t="str">
        <f>IF(ISNUMBER(SEARCH("Implementers",'Data extraction-synthesis'!M26)),"X","")</f>
        <v/>
      </c>
      <c r="AS27" s="20"/>
      <c r="AT27" s="20"/>
      <c r="AU27" s="20"/>
      <c r="AV27" s="20" t="str">
        <f>IF(ISNUMBER(SEARCH("Patient/community advocates",'Data extraction-synthesis'!M26)),"X","")</f>
        <v/>
      </c>
      <c r="AW27" s="20"/>
      <c r="AX27" s="20"/>
      <c r="AY27" s="20"/>
      <c r="AZ27" s="20" t="str">
        <f>IF(ISNUMBER(SEARCH("Microbiologists",'Data extraction-synthesis'!M26)),"X","")</f>
        <v/>
      </c>
      <c r="BA27" s="20"/>
      <c r="BB27" s="20"/>
      <c r="BC27" s="20"/>
      <c r="BD27" s="20" t="str">
        <f>IF(ISNUMBER(SEARCH("Modelers",'Data extraction-synthesis'!M26)),"X","")</f>
        <v/>
      </c>
      <c r="BE27" s="20"/>
      <c r="BF27" s="20"/>
      <c r="BG27" s="20" t="str">
        <f>IF(ISNUMBER(SEARCH("Health economists",'Data extraction-synthesis'!M26)),"X","")</f>
        <v/>
      </c>
      <c r="BH27" s="20"/>
      <c r="BI27" s="20"/>
      <c r="BJ27" s="20" t="str">
        <f>IF(ISNUMBER(SEARCH("Donors",'Data extraction-synthesis'!M26)),"X","")</f>
        <v/>
      </c>
      <c r="BK27" s="20"/>
      <c r="BL27" s="20"/>
      <c r="BM27" s="20" t="str">
        <f>IF(ISNUMBER(SEARCH("Market experts",'Data extraction-synthesis'!M26)),"X","")</f>
        <v/>
      </c>
      <c r="BN27" s="20"/>
      <c r="BO27" s="20"/>
      <c r="BP27" s="20"/>
      <c r="BQ27" s="20" t="str">
        <f>IF(ISNUMBER(SEARCH("Program manager",'Data extraction-synthesis'!M26)),"X","")</f>
        <v/>
      </c>
      <c r="BR27" s="20"/>
      <c r="BS27" s="20"/>
      <c r="BT27" s="20" t="str">
        <f>IF(ISNUMBER(SEARCH("Scientific associations",'Data extraction-synthesis'!M26)),"X","")</f>
        <v/>
      </c>
      <c r="BU27" s="20"/>
      <c r="BV27" s="20"/>
      <c r="BW27" s="20"/>
      <c r="BX27" s="20" t="str">
        <f>IF(ISNUMBER(SEARCH("Strategists",'Data extraction-synthesis'!M26)),"X","")</f>
        <v/>
      </c>
      <c r="BY27" s="20"/>
      <c r="BZ27" s="20"/>
      <c r="CA27" s="20" t="str">
        <f>IF(ISNUMBER(SEARCH("Other",'Data extraction-synthesis'!M26)),"X","")</f>
        <v/>
      </c>
      <c r="CB27" s="20"/>
      <c r="CC27" s="20"/>
    </row>
    <row r="28" spans="1:81" ht="79.8">
      <c r="A28" s="1" t="s">
        <v>36</v>
      </c>
      <c r="B28" s="19" t="s">
        <v>71</v>
      </c>
      <c r="C28" s="20" t="str">
        <f>IF(ISNUMBER(SEARCH("Industry (unspecific)",'Data extraction-synthesis'!M27)),"X","")</f>
        <v/>
      </c>
      <c r="D28" s="20"/>
      <c r="E28" s="20" t="str">
        <f t="shared" si="0"/>
        <v/>
      </c>
      <c r="F28" s="20"/>
      <c r="G28" s="20"/>
      <c r="H28" s="20"/>
      <c r="I28" s="20" t="str">
        <f>IF(ISNUMBER(SEARCH("Test developers",'Data extraction-synthesis'!M27)),"X","")</f>
        <v/>
      </c>
      <c r="J28" s="20"/>
      <c r="K28" s="20" t="str">
        <f>IF(ISNUMBER(SEARCH("Academia/researchers",'Data extraction-synthesis'!M27)),"X","")</f>
        <v/>
      </c>
      <c r="L28" s="20"/>
      <c r="M28" s="20"/>
      <c r="N28" s="20"/>
      <c r="O28" s="20" t="str">
        <f>IF(ISNUMBER(SEARCH("Clinicians",'Data extraction-synthesis'!M27)),"X","")</f>
        <v/>
      </c>
      <c r="P28" s="20"/>
      <c r="Q28" s="20"/>
      <c r="R28" s="20"/>
      <c r="S28" s="20" t="str">
        <f>IF(ISNUMBER(SEARCH("Representatives of countries and national disease programs",'Data extraction-synthesis'!M27)),"X","")</f>
        <v/>
      </c>
      <c r="T28" s="20"/>
      <c r="U28" s="20"/>
      <c r="V28" s="20"/>
      <c r="W28" s="20" t="str">
        <f>IF(ISNUMBER(SEARCH("International/public health institution ",'Data extraction-synthesis'!M27)),"X","")</f>
        <v>X</v>
      </c>
      <c r="X28" s="20" t="s">
        <v>361</v>
      </c>
      <c r="Y28" s="20"/>
      <c r="Z28" s="20"/>
      <c r="AA28" s="20" t="str">
        <f>IF(ISNUMBER(SEARCH("Experts (unspecific)",'Data extraction-synthesis'!M27)),"X","")</f>
        <v/>
      </c>
      <c r="AB28" s="20"/>
      <c r="AC28" s="20"/>
      <c r="AD28" s="20" t="str">
        <f>IF(ISNUMBER(SEARCH("Laboratory experts",'Data extraction-synthesis'!M27)),"X","")</f>
        <v/>
      </c>
      <c r="AE28" s="20"/>
      <c r="AF28" s="20"/>
      <c r="AG28" s="20" t="str">
        <f>IF(ISNUMBER(SEARCH("Non-profit sector",'Data extraction-synthesis'!M27)),"X","")</f>
        <v>X</v>
      </c>
      <c r="AH28" s="20" t="s">
        <v>361</v>
      </c>
      <c r="AI28" s="20"/>
      <c r="AJ28" s="20" t="str">
        <f>IF(ISNUMBER(SEARCH("Technical/funding agencies",'Data extraction-synthesis'!M27)),"X","")</f>
        <v/>
      </c>
      <c r="AK28" s="20"/>
      <c r="AL28" s="20"/>
      <c r="AM28" s="20"/>
      <c r="AN28" s="20" t="str">
        <f>IF(ISNUMBER(SEARCH("Policy makers",'Data extraction-synthesis'!M27)),"X","")</f>
        <v/>
      </c>
      <c r="AO28" s="20"/>
      <c r="AP28" s="20"/>
      <c r="AQ28" s="20"/>
      <c r="AR28" s="20" t="str">
        <f>IF(ISNUMBER(SEARCH("Implementers",'Data extraction-synthesis'!M27)),"X","")</f>
        <v/>
      </c>
      <c r="AS28" s="20"/>
      <c r="AT28" s="20"/>
      <c r="AU28" s="20"/>
      <c r="AV28" s="20" t="str">
        <f>IF(ISNUMBER(SEARCH("Patient/community advocates",'Data extraction-synthesis'!M27)),"X","")</f>
        <v/>
      </c>
      <c r="AW28" s="20"/>
      <c r="AX28" s="20"/>
      <c r="AY28" s="20"/>
      <c r="AZ28" s="20" t="str">
        <f>IF(ISNUMBER(SEARCH("Microbiologists",'Data extraction-synthesis'!M27)),"X","")</f>
        <v/>
      </c>
      <c r="BA28" s="20"/>
      <c r="BB28" s="20"/>
      <c r="BC28" s="20"/>
      <c r="BD28" s="20" t="str">
        <f>IF(ISNUMBER(SEARCH("Modelers",'Data extraction-synthesis'!M27)),"X","")</f>
        <v/>
      </c>
      <c r="BE28" s="20"/>
      <c r="BF28" s="20"/>
      <c r="BG28" s="20" t="str">
        <f>IF(ISNUMBER(SEARCH("Health economists",'Data extraction-synthesis'!M27)),"X","")</f>
        <v/>
      </c>
      <c r="BH28" s="20"/>
      <c r="BI28" s="20"/>
      <c r="BJ28" s="20" t="str">
        <f>IF(ISNUMBER(SEARCH("Donors",'Data extraction-synthesis'!M27)),"X","")</f>
        <v/>
      </c>
      <c r="BK28" s="20"/>
      <c r="BL28" s="20"/>
      <c r="BM28" s="20" t="str">
        <f>IF(ISNUMBER(SEARCH("Market experts",'Data extraction-synthesis'!M27)),"X","")</f>
        <v/>
      </c>
      <c r="BN28" s="20"/>
      <c r="BO28" s="20"/>
      <c r="BP28" s="20"/>
      <c r="BQ28" s="20" t="str">
        <f>IF(ISNUMBER(SEARCH("Program manager",'Data extraction-synthesis'!M27)),"X","")</f>
        <v/>
      </c>
      <c r="BR28" s="20"/>
      <c r="BS28" s="20"/>
      <c r="BT28" s="20" t="str">
        <f>IF(ISNUMBER(SEARCH("Scientific associations",'Data extraction-synthesis'!M27)),"X","")</f>
        <v/>
      </c>
      <c r="BU28" s="20"/>
      <c r="BV28" s="20"/>
      <c r="BW28" s="20"/>
      <c r="BX28" s="20" t="str">
        <f>IF(ISNUMBER(SEARCH("Strategists",'Data extraction-synthesis'!M27)),"X","")</f>
        <v/>
      </c>
      <c r="BY28" s="20"/>
      <c r="BZ28" s="20"/>
      <c r="CA28" s="20" t="str">
        <f>IF(ISNUMBER(SEARCH("Other",'Data extraction-synthesis'!M27)),"X","")</f>
        <v/>
      </c>
      <c r="CB28" s="20"/>
      <c r="CC28" s="20"/>
    </row>
    <row r="29" spans="1:81" ht="40.2">
      <c r="A29" s="1" t="s">
        <v>36</v>
      </c>
      <c r="B29" s="19" t="s">
        <v>72</v>
      </c>
      <c r="C29" s="20" t="str">
        <f>IF(ISNUMBER(SEARCH("Industry (unspecific)",'Data extraction-synthesis'!M28)),"X","")</f>
        <v/>
      </c>
      <c r="D29" s="20"/>
      <c r="E29" s="20" t="str">
        <f t="shared" si="0"/>
        <v/>
      </c>
      <c r="F29" s="20"/>
      <c r="G29" s="20"/>
      <c r="H29" s="20"/>
      <c r="I29" s="20" t="str">
        <f>IF(ISNUMBER(SEARCH("Test developers",'Data extraction-synthesis'!M28)),"X","")</f>
        <v/>
      </c>
      <c r="J29" s="20"/>
      <c r="K29" s="20" t="str">
        <f>IF(ISNUMBER(SEARCH("Academia/researchers",'Data extraction-synthesis'!M28)),"X","")</f>
        <v>X</v>
      </c>
      <c r="L29" s="20" t="s">
        <v>360</v>
      </c>
      <c r="M29" s="20" t="s">
        <v>361</v>
      </c>
      <c r="N29" s="20"/>
      <c r="O29" s="20" t="str">
        <f>IF(ISNUMBER(SEARCH("Clinicians",'Data extraction-synthesis'!M28)),"X","")</f>
        <v>X</v>
      </c>
      <c r="P29" s="20" t="s">
        <v>360</v>
      </c>
      <c r="Q29" s="20" t="s">
        <v>361</v>
      </c>
      <c r="R29" s="20"/>
      <c r="S29" s="20" t="str">
        <f>IF(ISNUMBER(SEARCH("Representatives of countries and national disease programs",'Data extraction-synthesis'!M28)),"X","")</f>
        <v/>
      </c>
      <c r="T29" s="20"/>
      <c r="U29" s="20"/>
      <c r="V29" s="20"/>
      <c r="W29" s="20" t="str">
        <f>IF(ISNUMBER(SEARCH("International/public health institution ",'Data extraction-synthesis'!M28)),"X","")</f>
        <v>X</v>
      </c>
      <c r="X29" s="20" t="s">
        <v>360</v>
      </c>
      <c r="Y29" s="20" t="s">
        <v>361</v>
      </c>
      <c r="Z29" s="20"/>
      <c r="AA29" s="20" t="str">
        <f>IF(ISNUMBER(SEARCH("Experts (unspecific)",'Data extraction-synthesis'!M28)),"X","")</f>
        <v/>
      </c>
      <c r="AB29" s="20"/>
      <c r="AC29" s="20"/>
      <c r="AD29" s="20" t="str">
        <f>IF(ISNUMBER(SEARCH("Laboratory experts",'Data extraction-synthesis'!M28)),"X","")</f>
        <v/>
      </c>
      <c r="AE29" s="20"/>
      <c r="AF29" s="20"/>
      <c r="AG29" s="20" t="str">
        <f>IF(ISNUMBER(SEARCH("Non-profit sector",'Data extraction-synthesis'!M28)),"X","")</f>
        <v/>
      </c>
      <c r="AH29" s="20"/>
      <c r="AI29" s="20"/>
      <c r="AJ29" s="20" t="str">
        <f>IF(ISNUMBER(SEARCH("Technical/funding agencies",'Data extraction-synthesis'!M28)),"X","")</f>
        <v/>
      </c>
      <c r="AK29" s="20"/>
      <c r="AL29" s="20"/>
      <c r="AM29" s="20"/>
      <c r="AN29" s="20" t="str">
        <f>IF(ISNUMBER(SEARCH("Policy makers",'Data extraction-synthesis'!M28)),"X","")</f>
        <v>X</v>
      </c>
      <c r="AO29" s="20" t="s">
        <v>360</v>
      </c>
      <c r="AP29" s="20" t="s">
        <v>361</v>
      </c>
      <c r="AQ29" s="20"/>
      <c r="AR29" s="20" t="str">
        <f>IF(ISNUMBER(SEARCH("Implementers",'Data extraction-synthesis'!M28)),"X","")</f>
        <v/>
      </c>
      <c r="AS29" s="20"/>
      <c r="AT29" s="20"/>
      <c r="AU29" s="20"/>
      <c r="AV29" s="20" t="str">
        <f>IF(ISNUMBER(SEARCH("Patient/community advocates",'Data extraction-synthesis'!M28)),"X","")</f>
        <v/>
      </c>
      <c r="AW29" s="20"/>
      <c r="AX29" s="20"/>
      <c r="AY29" s="20"/>
      <c r="AZ29" s="20" t="str">
        <f>IF(ISNUMBER(SEARCH("Microbiologists",'Data extraction-synthesis'!M28)),"X","")</f>
        <v/>
      </c>
      <c r="BA29" s="20"/>
      <c r="BB29" s="20"/>
      <c r="BC29" s="20"/>
      <c r="BD29" s="20" t="str">
        <f>IF(ISNUMBER(SEARCH("Modelers",'Data extraction-synthesis'!M28)),"X","")</f>
        <v/>
      </c>
      <c r="BE29" s="20"/>
      <c r="BF29" s="20"/>
      <c r="BG29" s="20" t="str">
        <f>IF(ISNUMBER(SEARCH("Health economists",'Data extraction-synthesis'!M28)),"X","")</f>
        <v/>
      </c>
      <c r="BH29" s="20"/>
      <c r="BI29" s="20"/>
      <c r="BJ29" s="20" t="str">
        <f>IF(ISNUMBER(SEARCH("Donors",'Data extraction-synthesis'!M28)),"X","")</f>
        <v/>
      </c>
      <c r="BK29" s="20"/>
      <c r="BL29" s="20"/>
      <c r="BM29" s="20" t="str">
        <f>IF(ISNUMBER(SEARCH("Market experts",'Data extraction-synthesis'!M28)),"X","")</f>
        <v/>
      </c>
      <c r="BN29" s="20"/>
      <c r="BO29" s="20"/>
      <c r="BP29" s="20"/>
      <c r="BQ29" s="20" t="str">
        <f>IF(ISNUMBER(SEARCH("Program manager",'Data extraction-synthesis'!M28)),"X","")</f>
        <v/>
      </c>
      <c r="BR29" s="20"/>
      <c r="BS29" s="20"/>
      <c r="BT29" s="20" t="str">
        <f>IF(ISNUMBER(SEARCH("Scientific associations",'Data extraction-synthesis'!M28)),"X","")</f>
        <v/>
      </c>
      <c r="BU29" s="20"/>
      <c r="BV29" s="20"/>
      <c r="BW29" s="20"/>
      <c r="BX29" s="20" t="str">
        <f>IF(ISNUMBER(SEARCH("Strategists",'Data extraction-synthesis'!M28)),"X","")</f>
        <v/>
      </c>
      <c r="BY29" s="20"/>
      <c r="BZ29" s="20"/>
      <c r="CA29" s="20" t="str">
        <f>IF(ISNUMBER(SEARCH("Other",'Data extraction-synthesis'!M28)),"X","")</f>
        <v/>
      </c>
      <c r="CB29" s="20"/>
      <c r="CC29" s="20"/>
    </row>
    <row r="30" spans="1:81" ht="66.6">
      <c r="A30" s="1" t="s">
        <v>36</v>
      </c>
      <c r="B30" s="19" t="s">
        <v>73</v>
      </c>
      <c r="C30" s="20" t="str">
        <f>IF(ISNUMBER(SEARCH("Industry (unspecific)",'Data extraction-synthesis'!M29)),"X","")</f>
        <v/>
      </c>
      <c r="D30" s="20"/>
      <c r="E30" s="20" t="str">
        <f t="shared" si="0"/>
        <v/>
      </c>
      <c r="F30" s="20"/>
      <c r="G30" s="20"/>
      <c r="H30" s="20"/>
      <c r="I30" s="20" t="str">
        <f>IF(ISNUMBER(SEARCH("Test developers",'Data extraction-synthesis'!M29)),"X","")</f>
        <v/>
      </c>
      <c r="J30" s="20"/>
      <c r="K30" s="20" t="str">
        <f>IF(ISNUMBER(SEARCH("Academia/researchers",'Data extraction-synthesis'!M29)),"X","")</f>
        <v>X</v>
      </c>
      <c r="L30" s="20" t="s">
        <v>360</v>
      </c>
      <c r="M30" s="20"/>
      <c r="N30" s="20"/>
      <c r="O30" s="20" t="str">
        <f>IF(ISNUMBER(SEARCH("Clinicians",'Data extraction-synthesis'!M29)),"X","")</f>
        <v/>
      </c>
      <c r="P30" s="20"/>
      <c r="Q30" s="20"/>
      <c r="R30" s="20"/>
      <c r="S30" s="20" t="str">
        <f>IF(ISNUMBER(SEARCH("Representatives of countries and national disease programs",'Data extraction-synthesis'!M29)),"X","")</f>
        <v/>
      </c>
      <c r="T30" s="20"/>
      <c r="U30" s="20"/>
      <c r="V30" s="20"/>
      <c r="W30" s="20" t="str">
        <f>IF(ISNUMBER(SEARCH("International/public health institution ",'Data extraction-synthesis'!M29)),"X","")</f>
        <v>X</v>
      </c>
      <c r="X30" s="20" t="s">
        <v>360</v>
      </c>
      <c r="Y30" s="20"/>
      <c r="Z30" s="20"/>
      <c r="AA30" s="20" t="str">
        <f>IF(ISNUMBER(SEARCH("Experts (unspecific)",'Data extraction-synthesis'!M29)),"X","")</f>
        <v/>
      </c>
      <c r="AB30" s="20"/>
      <c r="AC30" s="20"/>
      <c r="AD30" s="20" t="str">
        <f>IF(ISNUMBER(SEARCH("Laboratory experts",'Data extraction-synthesis'!M29)),"X","")</f>
        <v/>
      </c>
      <c r="AE30" s="20"/>
      <c r="AF30" s="20"/>
      <c r="AG30" s="20" t="str">
        <f>IF(ISNUMBER(SEARCH("Non-profit sector",'Data extraction-synthesis'!M29)),"X","")</f>
        <v/>
      </c>
      <c r="AH30" s="20"/>
      <c r="AI30" s="20"/>
      <c r="AJ30" s="20" t="str">
        <f>IF(ISNUMBER(SEARCH("Technical/funding agencies",'Data extraction-synthesis'!M29)),"X","")</f>
        <v/>
      </c>
      <c r="AK30" s="20"/>
      <c r="AL30" s="20"/>
      <c r="AM30" s="20"/>
      <c r="AN30" s="20" t="str">
        <f>IF(ISNUMBER(SEARCH("Policy makers",'Data extraction-synthesis'!M29)),"X","")</f>
        <v/>
      </c>
      <c r="AO30" s="20"/>
      <c r="AP30" s="20"/>
      <c r="AQ30" s="20"/>
      <c r="AR30" s="20" t="str">
        <f>IF(ISNUMBER(SEARCH("Implementers",'Data extraction-synthesis'!M29)),"X","")</f>
        <v/>
      </c>
      <c r="AS30" s="20"/>
      <c r="AT30" s="20"/>
      <c r="AU30" s="20"/>
      <c r="AV30" s="20" t="str">
        <f>IF(ISNUMBER(SEARCH("Patient/community advocates",'Data extraction-synthesis'!M29)),"X","")</f>
        <v/>
      </c>
      <c r="AW30" s="20"/>
      <c r="AX30" s="20"/>
      <c r="AY30" s="20"/>
      <c r="AZ30" s="20" t="str">
        <f>IF(ISNUMBER(SEARCH("Microbiologists",'Data extraction-synthesis'!M29)),"X","")</f>
        <v/>
      </c>
      <c r="BA30" s="20"/>
      <c r="BB30" s="20"/>
      <c r="BC30" s="20"/>
      <c r="BD30" s="20" t="str">
        <f>IF(ISNUMBER(SEARCH("Modelers",'Data extraction-synthesis'!M29)),"X","")</f>
        <v/>
      </c>
      <c r="BE30" s="20"/>
      <c r="BF30" s="20"/>
      <c r="BG30" s="20" t="str">
        <f>IF(ISNUMBER(SEARCH("Health economists",'Data extraction-synthesis'!M29)),"X","")</f>
        <v/>
      </c>
      <c r="BH30" s="20"/>
      <c r="BI30" s="20"/>
      <c r="BJ30" s="20" t="str">
        <f>IF(ISNUMBER(SEARCH("Donors",'Data extraction-synthesis'!M29)),"X","")</f>
        <v/>
      </c>
      <c r="BK30" s="20"/>
      <c r="BL30" s="20"/>
      <c r="BM30" s="20" t="str">
        <f>IF(ISNUMBER(SEARCH("Market experts",'Data extraction-synthesis'!M29)),"X","")</f>
        <v/>
      </c>
      <c r="BN30" s="20"/>
      <c r="BO30" s="20"/>
      <c r="BP30" s="20"/>
      <c r="BQ30" s="20" t="str">
        <f>IF(ISNUMBER(SEARCH("Program manager",'Data extraction-synthesis'!M29)),"X","")</f>
        <v/>
      </c>
      <c r="BR30" s="20"/>
      <c r="BS30" s="20"/>
      <c r="BT30" s="20" t="str">
        <f>IF(ISNUMBER(SEARCH("Scientific associations",'Data extraction-synthesis'!M29)),"X","")</f>
        <v/>
      </c>
      <c r="BU30" s="20"/>
      <c r="BV30" s="20"/>
      <c r="BW30" s="20"/>
      <c r="BX30" s="20" t="str">
        <f>IF(ISNUMBER(SEARCH("Strategists",'Data extraction-synthesis'!M29)),"X","")</f>
        <v/>
      </c>
      <c r="BY30" s="20"/>
      <c r="BZ30" s="20"/>
      <c r="CA30" s="20" t="str">
        <f>IF(ISNUMBER(SEARCH("Other",'Data extraction-synthesis'!M29)),"X","")</f>
        <v/>
      </c>
      <c r="CB30" s="20"/>
      <c r="CC30" s="20"/>
    </row>
    <row r="31" spans="1:81" ht="100.8">
      <c r="A31" s="5" t="s">
        <v>75</v>
      </c>
      <c r="B31" s="19" t="s">
        <v>76</v>
      </c>
      <c r="C31" s="20" t="str">
        <f>IF(ISNUMBER(SEARCH("Industry (unspecific)",'Data extraction-synthesis'!M30)),"X","")</f>
        <v/>
      </c>
      <c r="D31" s="20"/>
      <c r="E31" s="20" t="str">
        <f t="shared" si="0"/>
        <v/>
      </c>
      <c r="F31" s="20"/>
      <c r="G31" s="20"/>
      <c r="H31" s="20"/>
      <c r="I31" s="20" t="str">
        <f>IF(ISNUMBER(SEARCH("Test developers",'Data extraction-synthesis'!M30)),"X","")</f>
        <v/>
      </c>
      <c r="J31" s="20"/>
      <c r="K31" s="20" t="str">
        <f>IF(ISNUMBER(SEARCH("Academia/researchers",'Data extraction-synthesis'!M30)),"X","")</f>
        <v/>
      </c>
      <c r="L31" s="20"/>
      <c r="M31" s="20"/>
      <c r="N31" s="20"/>
      <c r="O31" s="20" t="str">
        <f>IF(ISNUMBER(SEARCH("Clinicians",'Data extraction-synthesis'!M30)),"X","")</f>
        <v/>
      </c>
      <c r="P31" s="20"/>
      <c r="Q31" s="20"/>
      <c r="R31" s="20"/>
      <c r="S31" s="20" t="str">
        <f>IF(ISNUMBER(SEARCH("Representatives of countries and national disease programs",'Data extraction-synthesis'!M30)),"X","")</f>
        <v/>
      </c>
      <c r="T31" s="20"/>
      <c r="U31" s="20"/>
      <c r="V31" s="20"/>
      <c r="W31" s="20" t="str">
        <f>IF(ISNUMBER(SEARCH("International/public health institution ",'Data extraction-synthesis'!M30)),"X","")</f>
        <v/>
      </c>
      <c r="X31" s="20"/>
      <c r="Y31" s="20"/>
      <c r="Z31" s="20"/>
      <c r="AA31" s="20" t="str">
        <f>IF(ISNUMBER(SEARCH("Experts (unspecific)",'Data extraction-synthesis'!M30)),"X","")</f>
        <v/>
      </c>
      <c r="AB31" s="20"/>
      <c r="AC31" s="20"/>
      <c r="AD31" s="20" t="str">
        <f>IF(ISNUMBER(SEARCH("Laboratory experts",'Data extraction-synthesis'!M30)),"X","")</f>
        <v/>
      </c>
      <c r="AE31" s="20"/>
      <c r="AF31" s="20"/>
      <c r="AG31" s="20" t="str">
        <f>IF(ISNUMBER(SEARCH("Non-profit sector",'Data extraction-synthesis'!M30)),"X","")</f>
        <v/>
      </c>
      <c r="AH31" s="20"/>
      <c r="AI31" s="20"/>
      <c r="AJ31" s="20" t="str">
        <f>IF(ISNUMBER(SEARCH("Technical/funding agencies",'Data extraction-synthesis'!M30)),"X","")</f>
        <v/>
      </c>
      <c r="AK31" s="20"/>
      <c r="AL31" s="20"/>
      <c r="AM31" s="20"/>
      <c r="AN31" s="20" t="str">
        <f>IF(ISNUMBER(SEARCH("Policy makers",'Data extraction-synthesis'!M30)),"X","")</f>
        <v/>
      </c>
      <c r="AO31" s="20"/>
      <c r="AP31" s="20"/>
      <c r="AQ31" s="20"/>
      <c r="AR31" s="20" t="str">
        <f>IF(ISNUMBER(SEARCH("Implementers",'Data extraction-synthesis'!M30)),"X","")</f>
        <v/>
      </c>
      <c r="AS31" s="20"/>
      <c r="AT31" s="20"/>
      <c r="AU31" s="20"/>
      <c r="AV31" s="20" t="str">
        <f>IF(ISNUMBER(SEARCH("Patient/community advocates",'Data extraction-synthesis'!M30)),"X","")</f>
        <v/>
      </c>
      <c r="AW31" s="20"/>
      <c r="AX31" s="20"/>
      <c r="AY31" s="20"/>
      <c r="AZ31" s="20" t="str">
        <f>IF(ISNUMBER(SEARCH("Microbiologists",'Data extraction-synthesis'!M30)),"X","")</f>
        <v/>
      </c>
      <c r="BA31" s="20"/>
      <c r="BB31" s="20"/>
      <c r="BC31" s="20"/>
      <c r="BD31" s="20" t="str">
        <f>IF(ISNUMBER(SEARCH("Modelers",'Data extraction-synthesis'!M30)),"X","")</f>
        <v/>
      </c>
      <c r="BE31" s="20"/>
      <c r="BF31" s="20"/>
      <c r="BG31" s="20" t="str">
        <f>IF(ISNUMBER(SEARCH("Health economists",'Data extraction-synthesis'!M30)),"X","")</f>
        <v/>
      </c>
      <c r="BH31" s="20"/>
      <c r="BI31" s="20"/>
      <c r="BJ31" s="20" t="str">
        <f>IF(ISNUMBER(SEARCH("Donors",'Data extraction-synthesis'!M30)),"X","")</f>
        <v/>
      </c>
      <c r="BK31" s="20"/>
      <c r="BL31" s="20"/>
      <c r="BM31" s="20" t="str">
        <f>IF(ISNUMBER(SEARCH("Market experts",'Data extraction-synthesis'!M30)),"X","")</f>
        <v/>
      </c>
      <c r="BN31" s="20"/>
      <c r="BO31" s="20"/>
      <c r="BP31" s="20"/>
      <c r="BQ31" s="20" t="str">
        <f>IF(ISNUMBER(SEARCH("Program manager",'Data extraction-synthesis'!M30)),"X","")</f>
        <v/>
      </c>
      <c r="BR31" s="20"/>
      <c r="BS31" s="20"/>
      <c r="BT31" s="20" t="str">
        <f>IF(ISNUMBER(SEARCH("Scientific associations",'Data extraction-synthesis'!M30)),"X","")</f>
        <v/>
      </c>
      <c r="BU31" s="20"/>
      <c r="BV31" s="20"/>
      <c r="BW31" s="20"/>
      <c r="BX31" s="20" t="str">
        <f>IF(ISNUMBER(SEARCH("Strategists",'Data extraction-synthesis'!M30)),"X","")</f>
        <v/>
      </c>
      <c r="BY31" s="20"/>
      <c r="BZ31" s="20"/>
      <c r="CA31" s="20" t="str">
        <f>IF(ISNUMBER(SEARCH("Other",'Data extraction-synthesis'!M30)),"X","")</f>
        <v/>
      </c>
      <c r="CB31" s="20"/>
      <c r="CC31" s="20"/>
    </row>
    <row r="32" spans="1:81" ht="40.2">
      <c r="A32" s="1" t="s">
        <v>65</v>
      </c>
      <c r="B32" s="19" t="s">
        <v>77</v>
      </c>
      <c r="C32" s="20" t="str">
        <f>IF(ISNUMBER(SEARCH("Industry (unspecific)",'Data extraction-synthesis'!M31)),"X","")</f>
        <v>X</v>
      </c>
      <c r="D32" s="20">
        <v>8</v>
      </c>
      <c r="E32" s="20" t="str">
        <f t="shared" si="0"/>
        <v>X</v>
      </c>
      <c r="F32" s="20" t="s">
        <v>360</v>
      </c>
      <c r="G32" s="20" t="s">
        <v>361</v>
      </c>
      <c r="H32" s="20"/>
      <c r="I32" s="20" t="str">
        <f>IF(ISNUMBER(SEARCH("Test developers",'Data extraction-synthesis'!M31)),"X","")</f>
        <v/>
      </c>
      <c r="J32" s="20"/>
      <c r="K32" s="20" t="str">
        <f>IF(ISNUMBER(SEARCH("Academia/researchers",'Data extraction-synthesis'!M31)),"X","")</f>
        <v>X</v>
      </c>
      <c r="L32" s="20" t="s">
        <v>360</v>
      </c>
      <c r="M32" s="20" t="s">
        <v>361</v>
      </c>
      <c r="N32" s="20"/>
      <c r="O32" s="20" t="str">
        <f>IF(ISNUMBER(SEARCH("Clinicians",'Data extraction-synthesis'!M31)),"X","")</f>
        <v/>
      </c>
      <c r="P32" s="20"/>
      <c r="Q32" s="20"/>
      <c r="R32" s="20"/>
      <c r="S32" s="20" t="str">
        <f>IF(ISNUMBER(SEARCH("Representatives of countries and national disease programs",'Data extraction-synthesis'!M31)),"X","")</f>
        <v/>
      </c>
      <c r="T32" s="20"/>
      <c r="U32" s="20"/>
      <c r="V32" s="20"/>
      <c r="W32" s="20" t="str">
        <f>IF(ISNUMBER(SEARCH("International/public health institution ",'Data extraction-synthesis'!M31)),"X","")</f>
        <v>X</v>
      </c>
      <c r="X32" s="20" t="s">
        <v>360</v>
      </c>
      <c r="Y32" s="20" t="s">
        <v>361</v>
      </c>
      <c r="Z32" s="20"/>
      <c r="AA32" s="20" t="str">
        <f>IF(ISNUMBER(SEARCH("Experts (unspecific)",'Data extraction-synthesis'!M31)),"X","")</f>
        <v/>
      </c>
      <c r="AB32" s="20"/>
      <c r="AC32" s="20"/>
      <c r="AD32" s="20" t="str">
        <f>IF(ISNUMBER(SEARCH("Laboratory experts",'Data extraction-synthesis'!M31)),"X","")</f>
        <v/>
      </c>
      <c r="AE32" s="20"/>
      <c r="AF32" s="20"/>
      <c r="AG32" s="20" t="str">
        <f>IF(ISNUMBER(SEARCH("Non-profit sector",'Data extraction-synthesis'!M31)),"X","")</f>
        <v/>
      </c>
      <c r="AH32" s="20"/>
      <c r="AI32" s="20"/>
      <c r="AJ32" s="20" t="str">
        <f>IF(ISNUMBER(SEARCH("Technical/funding agencies",'Data extraction-synthesis'!M31)),"X","")</f>
        <v/>
      </c>
      <c r="AK32" s="20"/>
      <c r="AL32" s="20"/>
      <c r="AM32" s="20"/>
      <c r="AN32" s="20" t="str">
        <f>IF(ISNUMBER(SEARCH("Policy makers",'Data extraction-synthesis'!M31)),"X","")</f>
        <v/>
      </c>
      <c r="AO32" s="20"/>
      <c r="AP32" s="20"/>
      <c r="AQ32" s="20"/>
      <c r="AR32" s="20" t="str">
        <f>IF(ISNUMBER(SEARCH("Implementers",'Data extraction-synthesis'!M31)),"X","")</f>
        <v/>
      </c>
      <c r="AS32" s="20"/>
      <c r="AT32" s="20"/>
      <c r="AU32" s="20"/>
      <c r="AV32" s="20" t="str">
        <f>IF(ISNUMBER(SEARCH("Patient/community advocates",'Data extraction-synthesis'!M31)),"X","")</f>
        <v/>
      </c>
      <c r="AW32" s="20"/>
      <c r="AX32" s="20"/>
      <c r="AY32" s="20"/>
      <c r="AZ32" s="20" t="str">
        <f>IF(ISNUMBER(SEARCH("Microbiologists",'Data extraction-synthesis'!M31)),"X","")</f>
        <v/>
      </c>
      <c r="BA32" s="20"/>
      <c r="BB32" s="20"/>
      <c r="BC32" s="20"/>
      <c r="BD32" s="20" t="str">
        <f>IF(ISNUMBER(SEARCH("Modelers",'Data extraction-synthesis'!M31)),"X","")</f>
        <v/>
      </c>
      <c r="BE32" s="20"/>
      <c r="BF32" s="20"/>
      <c r="BG32" s="20" t="str">
        <f>IF(ISNUMBER(SEARCH("Health economists",'Data extraction-synthesis'!M31)),"X","")</f>
        <v/>
      </c>
      <c r="BH32" s="20"/>
      <c r="BI32" s="20"/>
      <c r="BJ32" s="20" t="str">
        <f>IF(ISNUMBER(SEARCH("Donors",'Data extraction-synthesis'!M31)),"X","")</f>
        <v/>
      </c>
      <c r="BK32" s="20"/>
      <c r="BL32" s="20"/>
      <c r="BM32" s="20" t="str">
        <f>IF(ISNUMBER(SEARCH("Market experts",'Data extraction-synthesis'!M31)),"X","")</f>
        <v/>
      </c>
      <c r="BN32" s="20"/>
      <c r="BO32" s="20"/>
      <c r="BP32" s="20"/>
      <c r="BQ32" s="20" t="str">
        <f>IF(ISNUMBER(SEARCH("Program manager",'Data extraction-synthesis'!M31)),"X","")</f>
        <v/>
      </c>
      <c r="BR32" s="20"/>
      <c r="BS32" s="20"/>
      <c r="BT32" s="20" t="str">
        <f>IF(ISNUMBER(SEARCH("Scientific associations",'Data extraction-synthesis'!M31)),"X","")</f>
        <v/>
      </c>
      <c r="BU32" s="20"/>
      <c r="BV32" s="20"/>
      <c r="BW32" s="20"/>
      <c r="BX32" s="20" t="str">
        <f>IF(ISNUMBER(SEARCH("Strategists",'Data extraction-synthesis'!M31)),"X","")</f>
        <v/>
      </c>
      <c r="BY32" s="20"/>
      <c r="BZ32" s="20"/>
      <c r="CA32" s="20" t="str">
        <f>IF(ISNUMBER(SEARCH("Other",'Data extraction-synthesis'!M31)),"X","")</f>
        <v/>
      </c>
      <c r="CB32" s="20"/>
      <c r="CC32" s="20"/>
    </row>
    <row r="33" spans="1:81" ht="66.6">
      <c r="A33" s="1" t="s">
        <v>65</v>
      </c>
      <c r="B33" s="19" t="s">
        <v>78</v>
      </c>
      <c r="C33" s="20" t="str">
        <f>IF(ISNUMBER(SEARCH("Industry (unspecific)",'Data extraction-synthesis'!M32)),"X","")</f>
        <v>X</v>
      </c>
      <c r="D33" s="20">
        <v>9</v>
      </c>
      <c r="E33" s="20" t="str">
        <f t="shared" si="0"/>
        <v>X</v>
      </c>
      <c r="F33" s="20" t="s">
        <v>360</v>
      </c>
      <c r="G33" s="20" t="s">
        <v>361</v>
      </c>
      <c r="H33" s="20" t="s">
        <v>362</v>
      </c>
      <c r="I33" s="20" t="str">
        <f>IF(ISNUMBER(SEARCH("Test developers",'Data extraction-synthesis'!M32)),"X","")</f>
        <v/>
      </c>
      <c r="J33" s="20"/>
      <c r="K33" s="20" t="str">
        <f>IF(ISNUMBER(SEARCH("Academia/researchers",'Data extraction-synthesis'!M32)),"X","")</f>
        <v>X</v>
      </c>
      <c r="L33" s="20" t="s">
        <v>360</v>
      </c>
      <c r="M33" s="20" t="s">
        <v>361</v>
      </c>
      <c r="N33" s="20" t="s">
        <v>362</v>
      </c>
      <c r="O33" s="20" t="str">
        <f>IF(ISNUMBER(SEARCH("Clinicians",'Data extraction-synthesis'!M32)),"X","")</f>
        <v/>
      </c>
      <c r="P33" s="20"/>
      <c r="Q33" s="20"/>
      <c r="R33" s="20"/>
      <c r="S33" s="20" t="str">
        <f>IF(ISNUMBER(SEARCH("Representatives of countries and national disease programs",'Data extraction-synthesis'!M32)),"X","")</f>
        <v/>
      </c>
      <c r="T33" s="20"/>
      <c r="U33" s="20"/>
      <c r="V33" s="20"/>
      <c r="W33" s="20" t="str">
        <f>IF(ISNUMBER(SEARCH("International/public health institution ",'Data extraction-synthesis'!M32)),"X","")</f>
        <v>X</v>
      </c>
      <c r="X33" s="20" t="s">
        <v>360</v>
      </c>
      <c r="Y33" s="20" t="s">
        <v>361</v>
      </c>
      <c r="Z33" s="20" t="s">
        <v>362</v>
      </c>
      <c r="AA33" s="20" t="str">
        <f>IF(ISNUMBER(SEARCH("Experts (unspecific)",'Data extraction-synthesis'!M32)),"X","")</f>
        <v/>
      </c>
      <c r="AB33" s="20"/>
      <c r="AC33" s="20"/>
      <c r="AD33" s="20" t="str">
        <f>IF(ISNUMBER(SEARCH("Laboratory experts",'Data extraction-synthesis'!M32)),"X","")</f>
        <v/>
      </c>
      <c r="AE33" s="20"/>
      <c r="AF33" s="20"/>
      <c r="AG33" s="20" t="str">
        <f>IF(ISNUMBER(SEARCH("Non-profit sector",'Data extraction-synthesis'!M32)),"X","")</f>
        <v/>
      </c>
      <c r="AH33" s="20"/>
      <c r="AI33" s="20"/>
      <c r="AJ33" s="20" t="str">
        <f>IF(ISNUMBER(SEARCH("Technical/funding agencies",'Data extraction-synthesis'!M32)),"X","")</f>
        <v/>
      </c>
      <c r="AK33" s="20"/>
      <c r="AL33" s="20"/>
      <c r="AM33" s="20"/>
      <c r="AN33" s="20" t="str">
        <f>IF(ISNUMBER(SEARCH("Policy makers",'Data extraction-synthesis'!M32)),"X","")</f>
        <v/>
      </c>
      <c r="AO33" s="20"/>
      <c r="AP33" s="20"/>
      <c r="AQ33" s="20"/>
      <c r="AR33" s="20" t="str">
        <f>IF(ISNUMBER(SEARCH("Implementers",'Data extraction-synthesis'!M32)),"X","")</f>
        <v/>
      </c>
      <c r="AS33" s="20"/>
      <c r="AT33" s="20"/>
      <c r="AU33" s="20"/>
      <c r="AV33" s="20" t="str">
        <f>IF(ISNUMBER(SEARCH("Patient/community advocates",'Data extraction-synthesis'!M32)),"X","")</f>
        <v/>
      </c>
      <c r="AW33" s="20"/>
      <c r="AX33" s="20"/>
      <c r="AY33" s="20"/>
      <c r="AZ33" s="20" t="str">
        <f>IF(ISNUMBER(SEARCH("Microbiologists",'Data extraction-synthesis'!M32)),"X","")</f>
        <v/>
      </c>
      <c r="BA33" s="20"/>
      <c r="BB33" s="20"/>
      <c r="BC33" s="20"/>
      <c r="BD33" s="20" t="str">
        <f>IF(ISNUMBER(SEARCH("Modelers",'Data extraction-synthesis'!M32)),"X","")</f>
        <v/>
      </c>
      <c r="BE33" s="20"/>
      <c r="BF33" s="20"/>
      <c r="BG33" s="20" t="str">
        <f>IF(ISNUMBER(SEARCH("Health economists",'Data extraction-synthesis'!M32)),"X","")</f>
        <v/>
      </c>
      <c r="BH33" s="20"/>
      <c r="BI33" s="20"/>
      <c r="BJ33" s="20" t="str">
        <f>IF(ISNUMBER(SEARCH("Donors",'Data extraction-synthesis'!M32)),"X","")</f>
        <v/>
      </c>
      <c r="BK33" s="20"/>
      <c r="BL33" s="20"/>
      <c r="BM33" s="20" t="str">
        <f>IF(ISNUMBER(SEARCH("Market experts",'Data extraction-synthesis'!M32)),"X","")</f>
        <v/>
      </c>
      <c r="BN33" s="20"/>
      <c r="BO33" s="20"/>
      <c r="BP33" s="20"/>
      <c r="BQ33" s="20" t="str">
        <f>IF(ISNUMBER(SEARCH("Program manager",'Data extraction-synthesis'!M32)),"X","")</f>
        <v/>
      </c>
      <c r="BR33" s="20"/>
      <c r="BS33" s="20"/>
      <c r="BT33" s="20" t="str">
        <f>IF(ISNUMBER(SEARCH("Scientific associations",'Data extraction-synthesis'!M32)),"X","")</f>
        <v/>
      </c>
      <c r="BU33" s="20"/>
      <c r="BV33" s="20"/>
      <c r="BW33" s="20"/>
      <c r="BX33" s="20" t="str">
        <f>IF(ISNUMBER(SEARCH("Strategists",'Data extraction-synthesis'!M32)),"X","")</f>
        <v/>
      </c>
      <c r="BY33" s="20"/>
      <c r="BZ33" s="20"/>
      <c r="CA33" s="20" t="str">
        <f>IF(ISNUMBER(SEARCH("Other",'Data extraction-synthesis'!M32)),"X","")</f>
        <v/>
      </c>
      <c r="CB33" s="20"/>
      <c r="CC33" s="20"/>
    </row>
    <row r="34" spans="1:81" ht="79.8">
      <c r="A34" s="1" t="s">
        <v>80</v>
      </c>
      <c r="B34" s="19" t="s">
        <v>81</v>
      </c>
      <c r="C34" s="20" t="str">
        <f>IF(ISNUMBER(SEARCH("Industry (unspecific)",'Data extraction-synthesis'!M33)),"X","")</f>
        <v/>
      </c>
      <c r="D34" s="20"/>
      <c r="E34" s="20" t="str">
        <f t="shared" si="0"/>
        <v/>
      </c>
      <c r="F34" s="20"/>
      <c r="G34" s="20"/>
      <c r="H34" s="20"/>
      <c r="I34" s="20" t="str">
        <f>IF(ISNUMBER(SEARCH("Test developers",'Data extraction-synthesis'!M33)),"X","")</f>
        <v/>
      </c>
      <c r="J34" s="20"/>
      <c r="K34" s="20" t="str">
        <f>IF(ISNUMBER(SEARCH("Academia/researchers",'Data extraction-synthesis'!M33)),"X","")</f>
        <v/>
      </c>
      <c r="L34" s="20"/>
      <c r="M34" s="20"/>
      <c r="N34" s="20"/>
      <c r="O34" s="20" t="str">
        <f>IF(ISNUMBER(SEARCH("Clinicians",'Data extraction-synthesis'!M33)),"X","")</f>
        <v/>
      </c>
      <c r="P34" s="20"/>
      <c r="Q34" s="20"/>
      <c r="R34" s="20"/>
      <c r="S34" s="20" t="str">
        <f>IF(ISNUMBER(SEARCH("Representatives of countries and national disease programs",'Data extraction-synthesis'!M33)),"X","")</f>
        <v/>
      </c>
      <c r="T34" s="20"/>
      <c r="U34" s="20"/>
      <c r="V34" s="20"/>
      <c r="W34" s="20" t="str">
        <f>IF(ISNUMBER(SEARCH("International/public health institution ",'Data extraction-synthesis'!M33)),"X","")</f>
        <v/>
      </c>
      <c r="X34" s="20"/>
      <c r="Y34" s="20"/>
      <c r="Z34" s="20"/>
      <c r="AA34" s="20" t="str">
        <f>IF(ISNUMBER(SEARCH("Experts (unspecific)",'Data extraction-synthesis'!M33)),"X","")</f>
        <v>X</v>
      </c>
      <c r="AB34" s="20" t="s">
        <v>360</v>
      </c>
      <c r="AC34" s="20" t="s">
        <v>361</v>
      </c>
      <c r="AD34" s="20" t="str">
        <f>IF(ISNUMBER(SEARCH("Laboratory experts",'Data extraction-synthesis'!M33)),"X","")</f>
        <v/>
      </c>
      <c r="AE34" s="20"/>
      <c r="AF34" s="20"/>
      <c r="AG34" s="20" t="str">
        <f>IF(ISNUMBER(SEARCH("Non-profit sector",'Data extraction-synthesis'!M33)),"X","")</f>
        <v/>
      </c>
      <c r="AH34" s="20"/>
      <c r="AI34" s="20"/>
      <c r="AJ34" s="20" t="str">
        <f>IF(ISNUMBER(SEARCH("Technical/funding agencies",'Data extraction-synthesis'!M33)),"X","")</f>
        <v/>
      </c>
      <c r="AK34" s="20"/>
      <c r="AL34" s="20"/>
      <c r="AM34" s="20"/>
      <c r="AN34" s="20" t="str">
        <f>IF(ISNUMBER(SEARCH("Policy makers",'Data extraction-synthesis'!M33)),"X","")</f>
        <v/>
      </c>
      <c r="AO34" s="20"/>
      <c r="AP34" s="20"/>
      <c r="AQ34" s="20"/>
      <c r="AR34" s="20" t="str">
        <f>IF(ISNUMBER(SEARCH("Implementers",'Data extraction-synthesis'!M33)),"X","")</f>
        <v/>
      </c>
      <c r="AS34" s="20"/>
      <c r="AT34" s="20"/>
      <c r="AU34" s="20"/>
      <c r="AV34" s="20" t="str">
        <f>IF(ISNUMBER(SEARCH("Patient/community advocates",'Data extraction-synthesis'!M33)),"X","")</f>
        <v/>
      </c>
      <c r="AW34" s="20"/>
      <c r="AX34" s="20"/>
      <c r="AY34" s="20"/>
      <c r="AZ34" s="20" t="str">
        <f>IF(ISNUMBER(SEARCH("Microbiologists",'Data extraction-synthesis'!M33)),"X","")</f>
        <v/>
      </c>
      <c r="BA34" s="20"/>
      <c r="BB34" s="20"/>
      <c r="BC34" s="20"/>
      <c r="BD34" s="20" t="str">
        <f>IF(ISNUMBER(SEARCH("Modelers",'Data extraction-synthesis'!M33)),"X","")</f>
        <v/>
      </c>
      <c r="BE34" s="20"/>
      <c r="BF34" s="20"/>
      <c r="BG34" s="20" t="str">
        <f>IF(ISNUMBER(SEARCH("Health economists",'Data extraction-synthesis'!M33)),"X","")</f>
        <v/>
      </c>
      <c r="BH34" s="20"/>
      <c r="BI34" s="20"/>
      <c r="BJ34" s="20" t="str">
        <f>IF(ISNUMBER(SEARCH("Donors",'Data extraction-synthesis'!M33)),"X","")</f>
        <v/>
      </c>
      <c r="BK34" s="20"/>
      <c r="BL34" s="20"/>
      <c r="BM34" s="20" t="str">
        <f>IF(ISNUMBER(SEARCH("Market experts",'Data extraction-synthesis'!M33)),"X","")</f>
        <v/>
      </c>
      <c r="BN34" s="20"/>
      <c r="BO34" s="20"/>
      <c r="BP34" s="20"/>
      <c r="BQ34" s="20" t="str">
        <f>IF(ISNUMBER(SEARCH("Program manager",'Data extraction-synthesis'!M33)),"X","")</f>
        <v/>
      </c>
      <c r="BR34" s="20"/>
      <c r="BS34" s="20"/>
      <c r="BT34" s="20" t="str">
        <f>IF(ISNUMBER(SEARCH("Scientific associations",'Data extraction-synthesis'!M33)),"X","")</f>
        <v/>
      </c>
      <c r="BU34" s="20"/>
      <c r="BV34" s="20"/>
      <c r="BW34" s="20"/>
      <c r="BX34" s="20" t="str">
        <f>IF(ISNUMBER(SEARCH("Strategists",'Data extraction-synthesis'!M33)),"X","")</f>
        <v/>
      </c>
      <c r="BY34" s="20"/>
      <c r="BZ34" s="20"/>
      <c r="CA34" s="20" t="str">
        <f>IF(ISNUMBER(SEARCH("Other",'Data extraction-synthesis'!M33)),"X","")</f>
        <v>X</v>
      </c>
      <c r="CB34" s="20" t="s">
        <v>360</v>
      </c>
      <c r="CC34" s="20" t="s">
        <v>361</v>
      </c>
    </row>
    <row r="35" spans="1:81" ht="66.6">
      <c r="A35" s="1" t="s">
        <v>61</v>
      </c>
      <c r="B35" s="22" t="s">
        <v>84</v>
      </c>
      <c r="C35" s="20" t="str">
        <f>IF(ISNUMBER(SEARCH("Industry (unspecific)",'Data extraction-synthesis'!M34)),"X","")</f>
        <v/>
      </c>
      <c r="D35" s="20"/>
      <c r="E35" s="20" t="str">
        <f t="shared" si="0"/>
        <v/>
      </c>
      <c r="F35" s="20"/>
      <c r="G35" s="20"/>
      <c r="H35" s="20"/>
      <c r="I35" s="20" t="str">
        <f>IF(ISNUMBER(SEARCH("Test developers",'Data extraction-synthesis'!M34)),"X","")</f>
        <v/>
      </c>
      <c r="J35" s="20"/>
      <c r="K35" s="20" t="str">
        <f>IF(ISNUMBER(SEARCH("Academia/researchers",'Data extraction-synthesis'!M34)),"X","")</f>
        <v/>
      </c>
      <c r="L35" s="20"/>
      <c r="M35" s="20"/>
      <c r="N35" s="20"/>
      <c r="O35" s="20" t="str">
        <f>IF(ISNUMBER(SEARCH("Clinicians",'Data extraction-synthesis'!M34)),"X","")</f>
        <v/>
      </c>
      <c r="P35" s="20"/>
      <c r="Q35" s="20"/>
      <c r="R35" s="20"/>
      <c r="S35" s="20" t="str">
        <f>IF(ISNUMBER(SEARCH("Representatives of countries and national disease programs",'Data extraction-synthesis'!M34)),"X","")</f>
        <v/>
      </c>
      <c r="T35" s="20"/>
      <c r="U35" s="20"/>
      <c r="V35" s="20"/>
      <c r="W35" s="20" t="str">
        <f>IF(ISNUMBER(SEARCH("International/public health institution ",'Data extraction-synthesis'!M34)),"X","")</f>
        <v/>
      </c>
      <c r="X35" s="20"/>
      <c r="Y35" s="20"/>
      <c r="Z35" s="20"/>
      <c r="AA35" s="20" t="str">
        <f>IF(ISNUMBER(SEARCH("Experts (unspecific)",'Data extraction-synthesis'!M34)),"X","")</f>
        <v/>
      </c>
      <c r="AB35" s="20"/>
      <c r="AC35" s="20"/>
      <c r="AD35" s="20" t="str">
        <f>IF(ISNUMBER(SEARCH("Laboratory experts",'Data extraction-synthesis'!M34)),"X","")</f>
        <v/>
      </c>
      <c r="AE35" s="20"/>
      <c r="AF35" s="20"/>
      <c r="AG35" s="20" t="str">
        <f>IF(ISNUMBER(SEARCH("Non-profit sector",'Data extraction-synthesis'!M34)),"X","")</f>
        <v/>
      </c>
      <c r="AH35" s="20"/>
      <c r="AI35" s="20"/>
      <c r="AJ35" s="20" t="str">
        <f>IF(ISNUMBER(SEARCH("Technical/funding agencies",'Data extraction-synthesis'!M34)),"X","")</f>
        <v/>
      </c>
      <c r="AK35" s="20"/>
      <c r="AL35" s="20"/>
      <c r="AM35" s="20"/>
      <c r="AN35" s="20" t="str">
        <f>IF(ISNUMBER(SEARCH("Policy makers",'Data extraction-synthesis'!M34)),"X","")</f>
        <v/>
      </c>
      <c r="AO35" s="20"/>
      <c r="AP35" s="20"/>
      <c r="AQ35" s="20"/>
      <c r="AR35" s="20" t="str">
        <f>IF(ISNUMBER(SEARCH("Implementers",'Data extraction-synthesis'!M34)),"X","")</f>
        <v/>
      </c>
      <c r="AS35" s="20"/>
      <c r="AT35" s="20"/>
      <c r="AU35" s="20"/>
      <c r="AV35" s="20" t="str">
        <f>IF(ISNUMBER(SEARCH("Patient/community advocates",'Data extraction-synthesis'!M34)),"X","")</f>
        <v/>
      </c>
      <c r="AW35" s="20"/>
      <c r="AX35" s="20"/>
      <c r="AY35" s="20"/>
      <c r="AZ35" s="20" t="str">
        <f>IF(ISNUMBER(SEARCH("Microbiologists",'Data extraction-synthesis'!M34)),"X","")</f>
        <v/>
      </c>
      <c r="BA35" s="20"/>
      <c r="BB35" s="20"/>
      <c r="BC35" s="20"/>
      <c r="BD35" s="20" t="str">
        <f>IF(ISNUMBER(SEARCH("Modelers",'Data extraction-synthesis'!M34)),"X","")</f>
        <v/>
      </c>
      <c r="BE35" s="20"/>
      <c r="BF35" s="20"/>
      <c r="BG35" s="20" t="str">
        <f>IF(ISNUMBER(SEARCH("Health economists",'Data extraction-synthesis'!M34)),"X","")</f>
        <v/>
      </c>
      <c r="BH35" s="20"/>
      <c r="BI35" s="20"/>
      <c r="BJ35" s="20" t="str">
        <f>IF(ISNUMBER(SEARCH("Donors",'Data extraction-synthesis'!M34)),"X","")</f>
        <v/>
      </c>
      <c r="BK35" s="20"/>
      <c r="BL35" s="20"/>
      <c r="BM35" s="20" t="str">
        <f>IF(ISNUMBER(SEARCH("Market experts",'Data extraction-synthesis'!M34)),"X","")</f>
        <v/>
      </c>
      <c r="BN35" s="20"/>
      <c r="BO35" s="20"/>
      <c r="BP35" s="20"/>
      <c r="BQ35" s="20" t="str">
        <f>IF(ISNUMBER(SEARCH("Program manager",'Data extraction-synthesis'!M34)),"X","")</f>
        <v/>
      </c>
      <c r="BR35" s="20"/>
      <c r="BS35" s="20"/>
      <c r="BT35" s="20" t="str">
        <f>IF(ISNUMBER(SEARCH("Scientific associations",'Data extraction-synthesis'!M34)),"X","")</f>
        <v/>
      </c>
      <c r="BU35" s="20"/>
      <c r="BV35" s="20"/>
      <c r="BW35" s="20"/>
      <c r="BX35" s="20" t="str">
        <f>IF(ISNUMBER(SEARCH("Strategists",'Data extraction-synthesis'!M34)),"X","")</f>
        <v/>
      </c>
      <c r="BY35" s="20"/>
      <c r="BZ35" s="20"/>
      <c r="CA35" s="20" t="str">
        <f>IF(ISNUMBER(SEARCH("Other",'Data extraction-synthesis'!M34)),"X","")</f>
        <v/>
      </c>
      <c r="CB35" s="20"/>
      <c r="CC35" s="20"/>
    </row>
    <row r="36" spans="1:81" ht="79.8">
      <c r="A36" s="1" t="s">
        <v>61</v>
      </c>
      <c r="B36" s="19" t="s">
        <v>85</v>
      </c>
      <c r="C36" s="20" t="str">
        <f>IF(ISNUMBER(SEARCH("Industry (unspecific)",'Data extraction-synthesis'!M35)),"X","")</f>
        <v/>
      </c>
      <c r="D36" s="20"/>
      <c r="E36" s="20" t="str">
        <f t="shared" si="0"/>
        <v/>
      </c>
      <c r="F36" s="20"/>
      <c r="G36" s="20"/>
      <c r="H36" s="20"/>
      <c r="I36" s="20" t="str">
        <f>IF(ISNUMBER(SEARCH("Test developers",'Data extraction-synthesis'!M35)),"X","")</f>
        <v/>
      </c>
      <c r="J36" s="20"/>
      <c r="K36" s="20" t="str">
        <f>IF(ISNUMBER(SEARCH("Academia/researchers",'Data extraction-synthesis'!M35)),"X","")</f>
        <v/>
      </c>
      <c r="L36" s="20"/>
      <c r="M36" s="20"/>
      <c r="N36" s="20"/>
      <c r="O36" s="20" t="str">
        <f>IF(ISNUMBER(SEARCH("Clinicians",'Data extraction-synthesis'!M35)),"X","")</f>
        <v/>
      </c>
      <c r="P36" s="20"/>
      <c r="Q36" s="20"/>
      <c r="R36" s="20"/>
      <c r="S36" s="20" t="str">
        <f>IF(ISNUMBER(SEARCH("Representatives of countries and national disease programs",'Data extraction-synthesis'!M35)),"X","")</f>
        <v/>
      </c>
      <c r="T36" s="20"/>
      <c r="U36" s="20"/>
      <c r="V36" s="20"/>
      <c r="W36" s="20" t="str">
        <f>IF(ISNUMBER(SEARCH("International/public health institution ",'Data extraction-synthesis'!M35)),"X","")</f>
        <v/>
      </c>
      <c r="X36" s="20"/>
      <c r="Y36" s="20"/>
      <c r="Z36" s="20"/>
      <c r="AA36" s="20" t="str">
        <f>IF(ISNUMBER(SEARCH("Experts (unspecific)",'Data extraction-synthesis'!M35)),"X","")</f>
        <v/>
      </c>
      <c r="AB36" s="20"/>
      <c r="AC36" s="20"/>
      <c r="AD36" s="20" t="str">
        <f>IF(ISNUMBER(SEARCH("Laboratory experts",'Data extraction-synthesis'!M35)),"X","")</f>
        <v/>
      </c>
      <c r="AE36" s="20"/>
      <c r="AF36" s="20"/>
      <c r="AG36" s="20" t="str">
        <f>IF(ISNUMBER(SEARCH("Non-profit sector",'Data extraction-synthesis'!M35)),"X","")</f>
        <v/>
      </c>
      <c r="AH36" s="20"/>
      <c r="AI36" s="20"/>
      <c r="AJ36" s="20" t="str">
        <f>IF(ISNUMBER(SEARCH("Technical/funding agencies",'Data extraction-synthesis'!M35)),"X","")</f>
        <v/>
      </c>
      <c r="AK36" s="20"/>
      <c r="AL36" s="20"/>
      <c r="AM36" s="20"/>
      <c r="AN36" s="20" t="str">
        <f>IF(ISNUMBER(SEARCH("Policy makers",'Data extraction-synthesis'!M35)),"X","")</f>
        <v/>
      </c>
      <c r="AO36" s="20"/>
      <c r="AP36" s="20"/>
      <c r="AQ36" s="20"/>
      <c r="AR36" s="20" t="str">
        <f>IF(ISNUMBER(SEARCH("Implementers",'Data extraction-synthesis'!M35)),"X","")</f>
        <v/>
      </c>
      <c r="AS36" s="20"/>
      <c r="AT36" s="20"/>
      <c r="AU36" s="20"/>
      <c r="AV36" s="20" t="str">
        <f>IF(ISNUMBER(SEARCH("Patient/community advocates",'Data extraction-synthesis'!M35)),"X","")</f>
        <v/>
      </c>
      <c r="AW36" s="20"/>
      <c r="AX36" s="20"/>
      <c r="AY36" s="20"/>
      <c r="AZ36" s="20" t="str">
        <f>IF(ISNUMBER(SEARCH("Microbiologists",'Data extraction-synthesis'!M35)),"X","")</f>
        <v/>
      </c>
      <c r="BA36" s="20"/>
      <c r="BB36" s="20"/>
      <c r="BC36" s="20"/>
      <c r="BD36" s="20" t="str">
        <f>IF(ISNUMBER(SEARCH("Modelers",'Data extraction-synthesis'!M35)),"X","")</f>
        <v/>
      </c>
      <c r="BE36" s="20"/>
      <c r="BF36" s="20"/>
      <c r="BG36" s="20" t="str">
        <f>IF(ISNUMBER(SEARCH("Health economists",'Data extraction-synthesis'!M35)),"X","")</f>
        <v/>
      </c>
      <c r="BH36" s="20"/>
      <c r="BI36" s="20"/>
      <c r="BJ36" s="20" t="str">
        <f>IF(ISNUMBER(SEARCH("Donors",'Data extraction-synthesis'!M35)),"X","")</f>
        <v/>
      </c>
      <c r="BK36" s="20"/>
      <c r="BL36" s="20"/>
      <c r="BM36" s="20" t="str">
        <f>IF(ISNUMBER(SEARCH("Market experts",'Data extraction-synthesis'!M35)),"X","")</f>
        <v/>
      </c>
      <c r="BN36" s="20"/>
      <c r="BO36" s="20"/>
      <c r="BP36" s="20"/>
      <c r="BQ36" s="20" t="str">
        <f>IF(ISNUMBER(SEARCH("Program manager",'Data extraction-synthesis'!M35)),"X","")</f>
        <v/>
      </c>
      <c r="BR36" s="20"/>
      <c r="BS36" s="20"/>
      <c r="BT36" s="20" t="str">
        <f>IF(ISNUMBER(SEARCH("Scientific associations",'Data extraction-synthesis'!M35)),"X","")</f>
        <v/>
      </c>
      <c r="BU36" s="20"/>
      <c r="BV36" s="20"/>
      <c r="BW36" s="20"/>
      <c r="BX36" s="20" t="str">
        <f>IF(ISNUMBER(SEARCH("Strategists",'Data extraction-synthesis'!M35)),"X","")</f>
        <v/>
      </c>
      <c r="BY36" s="20"/>
      <c r="BZ36" s="20"/>
      <c r="CA36" s="20" t="str">
        <f>IF(ISNUMBER(SEARCH("Other",'Data extraction-synthesis'!M35)),"X","")</f>
        <v/>
      </c>
      <c r="CB36" s="20"/>
      <c r="CC36" s="20"/>
    </row>
    <row r="37" spans="1:81" ht="66.6">
      <c r="A37" s="1" t="s">
        <v>86</v>
      </c>
      <c r="B37" s="19" t="s">
        <v>87</v>
      </c>
      <c r="C37" s="20" t="str">
        <f>IF(ISNUMBER(SEARCH("Industry (unspecific)",'Data extraction-synthesis'!M36)),"X","")</f>
        <v/>
      </c>
      <c r="D37" s="20"/>
      <c r="E37" s="20" t="str">
        <f t="shared" si="0"/>
        <v/>
      </c>
      <c r="F37" s="20"/>
      <c r="G37" s="20"/>
      <c r="H37" s="20"/>
      <c r="I37" s="20" t="str">
        <f>IF(ISNUMBER(SEARCH("Test developers",'Data extraction-synthesis'!M36)),"X","")</f>
        <v/>
      </c>
      <c r="J37" s="20"/>
      <c r="K37" s="20" t="str">
        <f>IF(ISNUMBER(SEARCH("Academia/researchers",'Data extraction-synthesis'!M36)),"X","")</f>
        <v/>
      </c>
      <c r="L37" s="20"/>
      <c r="M37" s="20"/>
      <c r="N37" s="20"/>
      <c r="O37" s="20" t="str">
        <f>IF(ISNUMBER(SEARCH("Clinicians",'Data extraction-synthesis'!M36)),"X","")</f>
        <v/>
      </c>
      <c r="P37" s="20"/>
      <c r="Q37" s="20"/>
      <c r="R37" s="20"/>
      <c r="S37" s="20" t="str">
        <f>IF(ISNUMBER(SEARCH("Representatives of countries and national disease programs",'Data extraction-synthesis'!M36)),"X","")</f>
        <v/>
      </c>
      <c r="T37" s="20"/>
      <c r="U37" s="20"/>
      <c r="V37" s="20"/>
      <c r="W37" s="20" t="str">
        <f>IF(ISNUMBER(SEARCH("International/public health institution ",'Data extraction-synthesis'!M36)),"X","")</f>
        <v/>
      </c>
      <c r="X37" s="20"/>
      <c r="Y37" s="20"/>
      <c r="Z37" s="20"/>
      <c r="AA37" s="20" t="str">
        <f>IF(ISNUMBER(SEARCH("Experts (unspecific)",'Data extraction-synthesis'!M36)),"X","")</f>
        <v/>
      </c>
      <c r="AB37" s="20"/>
      <c r="AC37" s="20"/>
      <c r="AD37" s="20" t="str">
        <f>IF(ISNUMBER(SEARCH("Laboratory experts",'Data extraction-synthesis'!M36)),"X","")</f>
        <v/>
      </c>
      <c r="AE37" s="20"/>
      <c r="AF37" s="20"/>
      <c r="AG37" s="20" t="str">
        <f>IF(ISNUMBER(SEARCH("Non-profit sector",'Data extraction-synthesis'!M36)),"X","")</f>
        <v/>
      </c>
      <c r="AH37" s="20"/>
      <c r="AI37" s="20"/>
      <c r="AJ37" s="20" t="str">
        <f>IF(ISNUMBER(SEARCH("Technical/funding agencies",'Data extraction-synthesis'!M36)),"X","")</f>
        <v/>
      </c>
      <c r="AK37" s="20"/>
      <c r="AL37" s="20"/>
      <c r="AM37" s="20"/>
      <c r="AN37" s="20" t="str">
        <f>IF(ISNUMBER(SEARCH("Policy makers",'Data extraction-synthesis'!M36)),"X","")</f>
        <v/>
      </c>
      <c r="AO37" s="20"/>
      <c r="AP37" s="20"/>
      <c r="AQ37" s="20"/>
      <c r="AR37" s="20" t="str">
        <f>IF(ISNUMBER(SEARCH("Implementers",'Data extraction-synthesis'!M36)),"X","")</f>
        <v/>
      </c>
      <c r="AS37" s="20"/>
      <c r="AT37" s="20"/>
      <c r="AU37" s="20"/>
      <c r="AV37" s="20" t="str">
        <f>IF(ISNUMBER(SEARCH("Patient/community advocates",'Data extraction-synthesis'!M36)),"X","")</f>
        <v/>
      </c>
      <c r="AW37" s="20"/>
      <c r="AX37" s="20"/>
      <c r="AY37" s="20"/>
      <c r="AZ37" s="20" t="str">
        <f>IF(ISNUMBER(SEARCH("Microbiologists",'Data extraction-synthesis'!M36)),"X","")</f>
        <v/>
      </c>
      <c r="BA37" s="20"/>
      <c r="BB37" s="20"/>
      <c r="BC37" s="20"/>
      <c r="BD37" s="20" t="str">
        <f>IF(ISNUMBER(SEARCH("Modelers",'Data extraction-synthesis'!M36)),"X","")</f>
        <v/>
      </c>
      <c r="BE37" s="20"/>
      <c r="BF37" s="20"/>
      <c r="BG37" s="20" t="str">
        <f>IF(ISNUMBER(SEARCH("Health economists",'Data extraction-synthesis'!M36)),"X","")</f>
        <v/>
      </c>
      <c r="BH37" s="20"/>
      <c r="BI37" s="20"/>
      <c r="BJ37" s="20" t="str">
        <f>IF(ISNUMBER(SEARCH("Donors",'Data extraction-synthesis'!M36)),"X","")</f>
        <v/>
      </c>
      <c r="BK37" s="20"/>
      <c r="BL37" s="20"/>
      <c r="BM37" s="20" t="str">
        <f>IF(ISNUMBER(SEARCH("Market experts",'Data extraction-synthesis'!M36)),"X","")</f>
        <v/>
      </c>
      <c r="BN37" s="20"/>
      <c r="BO37" s="20"/>
      <c r="BP37" s="20"/>
      <c r="BQ37" s="20" t="str">
        <f>IF(ISNUMBER(SEARCH("Program manager",'Data extraction-synthesis'!M36)),"X","")</f>
        <v/>
      </c>
      <c r="BR37" s="20"/>
      <c r="BS37" s="20"/>
      <c r="BT37" s="20" t="str">
        <f>IF(ISNUMBER(SEARCH("Scientific associations",'Data extraction-synthesis'!M36)),"X","")</f>
        <v/>
      </c>
      <c r="BU37" s="20"/>
      <c r="BV37" s="20"/>
      <c r="BW37" s="20"/>
      <c r="BX37" s="20" t="str">
        <f>IF(ISNUMBER(SEARCH("Strategists",'Data extraction-synthesis'!M36)),"X","")</f>
        <v/>
      </c>
      <c r="BY37" s="20"/>
      <c r="BZ37" s="20"/>
      <c r="CA37" s="20" t="str">
        <f>IF(ISNUMBER(SEARCH("Other",'Data extraction-synthesis'!M36)),"X","")</f>
        <v/>
      </c>
      <c r="CB37" s="20"/>
      <c r="CC37" s="20"/>
    </row>
    <row r="38" spans="1:81" ht="66.6">
      <c r="A38" s="1" t="s">
        <v>86</v>
      </c>
      <c r="B38" s="19" t="s">
        <v>90</v>
      </c>
      <c r="C38" s="20" t="str">
        <f>IF(ISNUMBER(SEARCH("Industry (unspecific)",'Data extraction-synthesis'!M37)),"X","")</f>
        <v/>
      </c>
      <c r="D38" s="20"/>
      <c r="E38" s="20" t="str">
        <f t="shared" si="0"/>
        <v/>
      </c>
      <c r="F38" s="20"/>
      <c r="G38" s="20"/>
      <c r="H38" s="20"/>
      <c r="I38" s="20" t="str">
        <f>IF(ISNUMBER(SEARCH("Test developers",'Data extraction-synthesis'!M37)),"X","")</f>
        <v/>
      </c>
      <c r="J38" s="20"/>
      <c r="K38" s="20" t="str">
        <f>IF(ISNUMBER(SEARCH("Academia/researchers",'Data extraction-synthesis'!M37)),"X","")</f>
        <v/>
      </c>
      <c r="L38" s="20"/>
      <c r="M38" s="20"/>
      <c r="N38" s="20"/>
      <c r="O38" s="20" t="str">
        <f>IF(ISNUMBER(SEARCH("Clinicians",'Data extraction-synthesis'!M37)),"X","")</f>
        <v/>
      </c>
      <c r="P38" s="20"/>
      <c r="Q38" s="20"/>
      <c r="R38" s="20"/>
      <c r="S38" s="20" t="str">
        <f>IF(ISNUMBER(SEARCH("Representatives of countries and national disease programs",'Data extraction-synthesis'!M37)),"X","")</f>
        <v/>
      </c>
      <c r="T38" s="20"/>
      <c r="U38" s="20"/>
      <c r="V38" s="20"/>
      <c r="W38" s="20" t="str">
        <f>IF(ISNUMBER(SEARCH("International/public health institution ",'Data extraction-synthesis'!M37)),"X","")</f>
        <v/>
      </c>
      <c r="X38" s="20"/>
      <c r="Y38" s="20"/>
      <c r="Z38" s="20"/>
      <c r="AA38" s="20" t="str">
        <f>IF(ISNUMBER(SEARCH("Experts (unspecific)",'Data extraction-synthesis'!M37)),"X","")</f>
        <v/>
      </c>
      <c r="AB38" s="20"/>
      <c r="AC38" s="20"/>
      <c r="AD38" s="20" t="str">
        <f>IF(ISNUMBER(SEARCH("Laboratory experts",'Data extraction-synthesis'!M37)),"X","")</f>
        <v/>
      </c>
      <c r="AE38" s="20"/>
      <c r="AF38" s="20"/>
      <c r="AG38" s="20" t="str">
        <f>IF(ISNUMBER(SEARCH("Non-profit sector",'Data extraction-synthesis'!M37)),"X","")</f>
        <v/>
      </c>
      <c r="AH38" s="20"/>
      <c r="AI38" s="20"/>
      <c r="AJ38" s="20" t="str">
        <f>IF(ISNUMBER(SEARCH("Technical/funding agencies",'Data extraction-synthesis'!M37)),"X","")</f>
        <v/>
      </c>
      <c r="AK38" s="20"/>
      <c r="AL38" s="20"/>
      <c r="AM38" s="20"/>
      <c r="AN38" s="20" t="str">
        <f>IF(ISNUMBER(SEARCH("Policy makers",'Data extraction-synthesis'!M37)),"X","")</f>
        <v/>
      </c>
      <c r="AO38" s="20"/>
      <c r="AP38" s="20"/>
      <c r="AQ38" s="20"/>
      <c r="AR38" s="20" t="str">
        <f>IF(ISNUMBER(SEARCH("Implementers",'Data extraction-synthesis'!M37)),"X","")</f>
        <v/>
      </c>
      <c r="AS38" s="20"/>
      <c r="AT38" s="20"/>
      <c r="AU38" s="20"/>
      <c r="AV38" s="20" t="str">
        <f>IF(ISNUMBER(SEARCH("Patient/community advocates",'Data extraction-synthesis'!M37)),"X","")</f>
        <v/>
      </c>
      <c r="AW38" s="20"/>
      <c r="AX38" s="20"/>
      <c r="AY38" s="20"/>
      <c r="AZ38" s="20" t="str">
        <f>IF(ISNUMBER(SEARCH("Microbiologists",'Data extraction-synthesis'!M37)),"X","")</f>
        <v/>
      </c>
      <c r="BA38" s="20"/>
      <c r="BB38" s="20"/>
      <c r="BC38" s="20"/>
      <c r="BD38" s="20" t="str">
        <f>IF(ISNUMBER(SEARCH("Modelers",'Data extraction-synthesis'!M37)),"X","")</f>
        <v/>
      </c>
      <c r="BE38" s="20"/>
      <c r="BF38" s="20"/>
      <c r="BG38" s="20" t="str">
        <f>IF(ISNUMBER(SEARCH("Health economists",'Data extraction-synthesis'!M37)),"X","")</f>
        <v/>
      </c>
      <c r="BH38" s="20"/>
      <c r="BI38" s="20"/>
      <c r="BJ38" s="20" t="str">
        <f>IF(ISNUMBER(SEARCH("Donors",'Data extraction-synthesis'!M37)),"X","")</f>
        <v/>
      </c>
      <c r="BK38" s="20"/>
      <c r="BL38" s="20"/>
      <c r="BM38" s="20" t="str">
        <f>IF(ISNUMBER(SEARCH("Market experts",'Data extraction-synthesis'!M37)),"X","")</f>
        <v/>
      </c>
      <c r="BN38" s="20"/>
      <c r="BO38" s="20"/>
      <c r="BP38" s="20"/>
      <c r="BQ38" s="20" t="str">
        <f>IF(ISNUMBER(SEARCH("Program manager",'Data extraction-synthesis'!M37)),"X","")</f>
        <v/>
      </c>
      <c r="BR38" s="20"/>
      <c r="BS38" s="20"/>
      <c r="BT38" s="20" t="str">
        <f>IF(ISNUMBER(SEARCH("Scientific associations",'Data extraction-synthesis'!M37)),"X","")</f>
        <v/>
      </c>
      <c r="BU38" s="20"/>
      <c r="BV38" s="20"/>
      <c r="BW38" s="20"/>
      <c r="BX38" s="20" t="str">
        <f>IF(ISNUMBER(SEARCH("Strategists",'Data extraction-synthesis'!M37)),"X","")</f>
        <v/>
      </c>
      <c r="BY38" s="20"/>
      <c r="BZ38" s="20"/>
      <c r="CA38" s="20" t="str">
        <f>IF(ISNUMBER(SEARCH("Other",'Data extraction-synthesis'!M37)),"X","")</f>
        <v/>
      </c>
      <c r="CB38" s="20"/>
      <c r="CC38" s="20"/>
    </row>
    <row r="39" spans="1:81" ht="66.6">
      <c r="A39" s="1" t="s">
        <v>86</v>
      </c>
      <c r="B39" s="19" t="s">
        <v>91</v>
      </c>
      <c r="C39" s="20" t="str">
        <f>IF(ISNUMBER(SEARCH("Industry (unspecific)",'Data extraction-synthesis'!M38)),"X","")</f>
        <v/>
      </c>
      <c r="D39" s="20"/>
      <c r="E39" s="20" t="str">
        <f t="shared" si="0"/>
        <v/>
      </c>
      <c r="F39" s="20"/>
      <c r="G39" s="20"/>
      <c r="H39" s="20"/>
      <c r="I39" s="20" t="str">
        <f>IF(ISNUMBER(SEARCH("Test developers",'Data extraction-synthesis'!M38)),"X","")</f>
        <v/>
      </c>
      <c r="J39" s="20"/>
      <c r="K39" s="20" t="str">
        <f>IF(ISNUMBER(SEARCH("Academia/researchers",'Data extraction-synthesis'!M38)),"X","")</f>
        <v/>
      </c>
      <c r="L39" s="20"/>
      <c r="M39" s="20"/>
      <c r="N39" s="20"/>
      <c r="O39" s="20" t="str">
        <f>IF(ISNUMBER(SEARCH("Clinicians",'Data extraction-synthesis'!M38)),"X","")</f>
        <v/>
      </c>
      <c r="P39" s="20"/>
      <c r="Q39" s="20"/>
      <c r="R39" s="20"/>
      <c r="S39" s="20" t="str">
        <f>IF(ISNUMBER(SEARCH("Representatives of countries and national disease programs",'Data extraction-synthesis'!M38)),"X","")</f>
        <v/>
      </c>
      <c r="T39" s="20"/>
      <c r="U39" s="20"/>
      <c r="V39" s="20"/>
      <c r="W39" s="20" t="str">
        <f>IF(ISNUMBER(SEARCH("International/public health institution ",'Data extraction-synthesis'!M38)),"X","")</f>
        <v/>
      </c>
      <c r="X39" s="20"/>
      <c r="Y39" s="20"/>
      <c r="Z39" s="20"/>
      <c r="AA39" s="20" t="str">
        <f>IF(ISNUMBER(SEARCH("Experts (unspecific)",'Data extraction-synthesis'!M38)),"X","")</f>
        <v/>
      </c>
      <c r="AB39" s="20"/>
      <c r="AC39" s="20"/>
      <c r="AD39" s="20" t="str">
        <f>IF(ISNUMBER(SEARCH("Laboratory experts",'Data extraction-synthesis'!M38)),"X","")</f>
        <v/>
      </c>
      <c r="AE39" s="20"/>
      <c r="AF39" s="20"/>
      <c r="AG39" s="20" t="str">
        <f>IF(ISNUMBER(SEARCH("Non-profit sector",'Data extraction-synthesis'!M38)),"X","")</f>
        <v/>
      </c>
      <c r="AH39" s="20"/>
      <c r="AI39" s="20"/>
      <c r="AJ39" s="20" t="str">
        <f>IF(ISNUMBER(SEARCH("Technical/funding agencies",'Data extraction-synthesis'!M38)),"X","")</f>
        <v/>
      </c>
      <c r="AK39" s="20"/>
      <c r="AL39" s="20"/>
      <c r="AM39" s="20"/>
      <c r="AN39" s="20" t="str">
        <f>IF(ISNUMBER(SEARCH("Policy makers",'Data extraction-synthesis'!M38)),"X","")</f>
        <v/>
      </c>
      <c r="AO39" s="20"/>
      <c r="AP39" s="20"/>
      <c r="AQ39" s="20"/>
      <c r="AR39" s="20" t="str">
        <f>IF(ISNUMBER(SEARCH("Implementers",'Data extraction-synthesis'!M38)),"X","")</f>
        <v/>
      </c>
      <c r="AS39" s="20"/>
      <c r="AT39" s="20"/>
      <c r="AU39" s="20"/>
      <c r="AV39" s="20" t="str">
        <f>IF(ISNUMBER(SEARCH("Patient/community advocates",'Data extraction-synthesis'!M38)),"X","")</f>
        <v/>
      </c>
      <c r="AW39" s="20"/>
      <c r="AX39" s="20"/>
      <c r="AY39" s="20"/>
      <c r="AZ39" s="20" t="str">
        <f>IF(ISNUMBER(SEARCH("Microbiologists",'Data extraction-synthesis'!M38)),"X","")</f>
        <v/>
      </c>
      <c r="BA39" s="20"/>
      <c r="BB39" s="20"/>
      <c r="BC39" s="20"/>
      <c r="BD39" s="20" t="str">
        <f>IF(ISNUMBER(SEARCH("Modelers",'Data extraction-synthesis'!M38)),"X","")</f>
        <v/>
      </c>
      <c r="BE39" s="20"/>
      <c r="BF39" s="20"/>
      <c r="BG39" s="20" t="str">
        <f>IF(ISNUMBER(SEARCH("Health economists",'Data extraction-synthesis'!M38)),"X","")</f>
        <v/>
      </c>
      <c r="BH39" s="20"/>
      <c r="BI39" s="20"/>
      <c r="BJ39" s="20" t="str">
        <f>IF(ISNUMBER(SEARCH("Donors",'Data extraction-synthesis'!M38)),"X","")</f>
        <v/>
      </c>
      <c r="BK39" s="20"/>
      <c r="BL39" s="20"/>
      <c r="BM39" s="20" t="str">
        <f>IF(ISNUMBER(SEARCH("Market experts",'Data extraction-synthesis'!M38)),"X","")</f>
        <v/>
      </c>
      <c r="BN39" s="20"/>
      <c r="BO39" s="20"/>
      <c r="BP39" s="20"/>
      <c r="BQ39" s="20" t="str">
        <f>IF(ISNUMBER(SEARCH("Program manager",'Data extraction-synthesis'!M38)),"X","")</f>
        <v/>
      </c>
      <c r="BR39" s="20"/>
      <c r="BS39" s="20"/>
      <c r="BT39" s="20" t="str">
        <f>IF(ISNUMBER(SEARCH("Scientific associations",'Data extraction-synthesis'!M38)),"X","")</f>
        <v/>
      </c>
      <c r="BU39" s="20"/>
      <c r="BV39" s="20"/>
      <c r="BW39" s="20"/>
      <c r="BX39" s="20" t="str">
        <f>IF(ISNUMBER(SEARCH("Strategists",'Data extraction-synthesis'!M38)),"X","")</f>
        <v/>
      </c>
      <c r="BY39" s="20"/>
      <c r="BZ39" s="20"/>
      <c r="CA39" s="20" t="str">
        <f>IF(ISNUMBER(SEARCH("Other",'Data extraction-synthesis'!M38)),"X","")</f>
        <v/>
      </c>
      <c r="CB39" s="20"/>
      <c r="CC39" s="20"/>
    </row>
    <row r="40" spans="1:81" ht="66.6">
      <c r="A40" s="1" t="s">
        <v>92</v>
      </c>
      <c r="B40" s="19" t="s">
        <v>93</v>
      </c>
      <c r="C40" s="20" t="str">
        <f>IF(ISNUMBER(SEARCH("Industry (unspecific)",'Data extraction-synthesis'!M39)),"X","")</f>
        <v/>
      </c>
      <c r="D40" s="20"/>
      <c r="E40" s="20" t="str">
        <f t="shared" si="0"/>
        <v/>
      </c>
      <c r="F40" s="20"/>
      <c r="G40" s="20"/>
      <c r="H40" s="20"/>
      <c r="I40" s="20" t="str">
        <f>IF(ISNUMBER(SEARCH("Test developers",'Data extraction-synthesis'!M39)),"X","")</f>
        <v/>
      </c>
      <c r="J40" s="20"/>
      <c r="K40" s="20" t="str">
        <f>IF(ISNUMBER(SEARCH("Academia/researchers",'Data extraction-synthesis'!M39)),"X","")</f>
        <v/>
      </c>
      <c r="L40" s="20"/>
      <c r="M40" s="20"/>
      <c r="N40" s="20"/>
      <c r="O40" s="20" t="str">
        <f>IF(ISNUMBER(SEARCH("Clinicians",'Data extraction-synthesis'!M39)),"X","")</f>
        <v/>
      </c>
      <c r="P40" s="20"/>
      <c r="Q40" s="20"/>
      <c r="R40" s="20"/>
      <c r="S40" s="20" t="str">
        <f>IF(ISNUMBER(SEARCH("Representatives of countries and national disease programs",'Data extraction-synthesis'!M39)),"X","")</f>
        <v/>
      </c>
      <c r="T40" s="20"/>
      <c r="U40" s="20"/>
      <c r="V40" s="20"/>
      <c r="W40" s="20" t="str">
        <f>IF(ISNUMBER(SEARCH("International/public health institution ",'Data extraction-synthesis'!M39)),"X","")</f>
        <v/>
      </c>
      <c r="X40" s="20"/>
      <c r="Y40" s="20"/>
      <c r="Z40" s="20"/>
      <c r="AA40" s="20" t="str">
        <f>IF(ISNUMBER(SEARCH("Experts (unspecific)",'Data extraction-synthesis'!M39)),"X","")</f>
        <v/>
      </c>
      <c r="AB40" s="20"/>
      <c r="AC40" s="20"/>
      <c r="AD40" s="20" t="str">
        <f>IF(ISNUMBER(SEARCH("Laboratory experts",'Data extraction-synthesis'!M39)),"X","")</f>
        <v/>
      </c>
      <c r="AE40" s="20"/>
      <c r="AF40" s="20"/>
      <c r="AG40" s="20" t="str">
        <f>IF(ISNUMBER(SEARCH("Non-profit sector",'Data extraction-synthesis'!M39)),"X","")</f>
        <v/>
      </c>
      <c r="AH40" s="20"/>
      <c r="AI40" s="20"/>
      <c r="AJ40" s="20" t="str">
        <f>IF(ISNUMBER(SEARCH("Technical/funding agencies",'Data extraction-synthesis'!M39)),"X","")</f>
        <v/>
      </c>
      <c r="AK40" s="20"/>
      <c r="AL40" s="20"/>
      <c r="AM40" s="20"/>
      <c r="AN40" s="20" t="str">
        <f>IF(ISNUMBER(SEARCH("Policy makers",'Data extraction-synthesis'!M39)),"X","")</f>
        <v/>
      </c>
      <c r="AO40" s="20"/>
      <c r="AP40" s="20"/>
      <c r="AQ40" s="20"/>
      <c r="AR40" s="20" t="str">
        <f>IF(ISNUMBER(SEARCH("Implementers",'Data extraction-synthesis'!M39)),"X","")</f>
        <v/>
      </c>
      <c r="AS40" s="20"/>
      <c r="AT40" s="20"/>
      <c r="AU40" s="20"/>
      <c r="AV40" s="20" t="str">
        <f>IF(ISNUMBER(SEARCH("Patient/community advocates",'Data extraction-synthesis'!M39)),"X","")</f>
        <v/>
      </c>
      <c r="AW40" s="20"/>
      <c r="AX40" s="20"/>
      <c r="AY40" s="20"/>
      <c r="AZ40" s="20" t="str">
        <f>IF(ISNUMBER(SEARCH("Microbiologists",'Data extraction-synthesis'!M39)),"X","")</f>
        <v/>
      </c>
      <c r="BA40" s="20"/>
      <c r="BB40" s="20"/>
      <c r="BC40" s="20"/>
      <c r="BD40" s="20" t="str">
        <f>IF(ISNUMBER(SEARCH("Modelers",'Data extraction-synthesis'!M39)),"X","")</f>
        <v/>
      </c>
      <c r="BE40" s="20"/>
      <c r="BF40" s="20"/>
      <c r="BG40" s="20" t="str">
        <f>IF(ISNUMBER(SEARCH("Health economists",'Data extraction-synthesis'!M39)),"X","")</f>
        <v/>
      </c>
      <c r="BH40" s="20"/>
      <c r="BI40" s="20"/>
      <c r="BJ40" s="20" t="str">
        <f>IF(ISNUMBER(SEARCH("Donors",'Data extraction-synthesis'!M39)),"X","")</f>
        <v/>
      </c>
      <c r="BK40" s="20"/>
      <c r="BL40" s="20"/>
      <c r="BM40" s="20" t="str">
        <f>IF(ISNUMBER(SEARCH("Market experts",'Data extraction-synthesis'!M39)),"X","")</f>
        <v/>
      </c>
      <c r="BN40" s="20"/>
      <c r="BO40" s="20"/>
      <c r="BP40" s="20"/>
      <c r="BQ40" s="20" t="str">
        <f>IF(ISNUMBER(SEARCH("Program manager",'Data extraction-synthesis'!M39)),"X","")</f>
        <v/>
      </c>
      <c r="BR40" s="20"/>
      <c r="BS40" s="20"/>
      <c r="BT40" s="20" t="str">
        <f>IF(ISNUMBER(SEARCH("Scientific associations",'Data extraction-synthesis'!M39)),"X","")</f>
        <v/>
      </c>
      <c r="BU40" s="20"/>
      <c r="BV40" s="20"/>
      <c r="BW40" s="20"/>
      <c r="BX40" s="20" t="str">
        <f>IF(ISNUMBER(SEARCH("Strategists",'Data extraction-synthesis'!M39)),"X","")</f>
        <v/>
      </c>
      <c r="BY40" s="20"/>
      <c r="BZ40" s="20"/>
      <c r="CA40" s="20" t="str">
        <f>IF(ISNUMBER(SEARCH("Other",'Data extraction-synthesis'!M39)),"X","")</f>
        <v/>
      </c>
      <c r="CB40" s="20"/>
      <c r="CC40" s="20"/>
    </row>
    <row r="41" spans="1:81" ht="132.6">
      <c r="A41" s="1" t="s">
        <v>94</v>
      </c>
      <c r="B41" s="19" t="s">
        <v>95</v>
      </c>
      <c r="C41" s="20" t="str">
        <f>IF(ISNUMBER(SEARCH("Industry (unspecific)",'Data extraction-synthesis'!M40)),"X","")</f>
        <v/>
      </c>
      <c r="D41" s="20">
        <v>2</v>
      </c>
      <c r="E41" s="20" t="str">
        <f t="shared" si="0"/>
        <v>X</v>
      </c>
      <c r="F41" s="20" t="s">
        <v>360</v>
      </c>
      <c r="G41" s="20" t="s">
        <v>361</v>
      </c>
      <c r="H41" s="20"/>
      <c r="I41" s="20" t="str">
        <f>IF(ISNUMBER(SEARCH("Test developers",'Data extraction-synthesis'!M40)),"X","")</f>
        <v>X</v>
      </c>
      <c r="J41" s="20"/>
      <c r="K41" s="20" t="str">
        <f>IF(ISNUMBER(SEARCH("Academia/researchers",'Data extraction-synthesis'!M40)),"X","")</f>
        <v>X</v>
      </c>
      <c r="L41" s="20" t="s">
        <v>360</v>
      </c>
      <c r="M41" s="20" t="s">
        <v>361</v>
      </c>
      <c r="N41" s="20"/>
      <c r="O41" s="20" t="str">
        <f>IF(ISNUMBER(SEARCH("Clinicians",'Data extraction-synthesis'!M40)),"X","")</f>
        <v>X</v>
      </c>
      <c r="P41" s="20" t="s">
        <v>360</v>
      </c>
      <c r="Q41" s="20" t="s">
        <v>361</v>
      </c>
      <c r="R41" s="20"/>
      <c r="S41" s="20" t="str">
        <f>IF(ISNUMBER(SEARCH("Representatives of countries and national disease programs",'Data extraction-synthesis'!M40)),"X","")</f>
        <v>X</v>
      </c>
      <c r="T41" s="20" t="s">
        <v>360</v>
      </c>
      <c r="U41" s="20" t="s">
        <v>361</v>
      </c>
      <c r="V41" s="20"/>
      <c r="W41" s="20" t="str">
        <f>IF(ISNUMBER(SEARCH("International/public health institution ",'Data extraction-synthesis'!M40)),"X","")</f>
        <v>X</v>
      </c>
      <c r="X41" s="20" t="s">
        <v>360</v>
      </c>
      <c r="Y41" s="20" t="s">
        <v>361</v>
      </c>
      <c r="Z41" s="20"/>
      <c r="AA41" s="20" t="str">
        <f>IF(ISNUMBER(SEARCH("Experts (unspecific)",'Data extraction-synthesis'!M40)),"X","")</f>
        <v/>
      </c>
      <c r="AB41" s="20"/>
      <c r="AC41" s="20"/>
      <c r="AD41" s="20" t="str">
        <f>IF(ISNUMBER(SEARCH("Laboratory experts",'Data extraction-synthesis'!M40)),"X","")</f>
        <v>X</v>
      </c>
      <c r="AE41" s="20" t="s">
        <v>360</v>
      </c>
      <c r="AF41" s="20" t="s">
        <v>361</v>
      </c>
      <c r="AG41" s="20" t="str">
        <f>IF(ISNUMBER(SEARCH("Non-profit sector",'Data extraction-synthesis'!M40)),"X","")</f>
        <v/>
      </c>
      <c r="AH41" s="20"/>
      <c r="AI41" s="20"/>
      <c r="AJ41" s="20" t="str">
        <f>IF(ISNUMBER(SEARCH("Technical/funding agencies",'Data extraction-synthesis'!M40)),"X","")</f>
        <v/>
      </c>
      <c r="AK41" s="20"/>
      <c r="AL41" s="20"/>
      <c r="AM41" s="20"/>
      <c r="AN41" s="20" t="str">
        <f>IF(ISNUMBER(SEARCH("Policy makers",'Data extraction-synthesis'!M40)),"X","")</f>
        <v>X</v>
      </c>
      <c r="AO41" s="20" t="s">
        <v>360</v>
      </c>
      <c r="AP41" s="20" t="s">
        <v>361</v>
      </c>
      <c r="AQ41" s="20"/>
      <c r="AR41" s="20" t="str">
        <f>IF(ISNUMBER(SEARCH("Implementers",'Data extraction-synthesis'!M40)),"X","")</f>
        <v/>
      </c>
      <c r="AS41" s="20"/>
      <c r="AT41" s="20"/>
      <c r="AU41" s="20"/>
      <c r="AV41" s="20" t="str">
        <f>IF(ISNUMBER(SEARCH("Patient/community advocates",'Data extraction-synthesis'!M40)),"X","")</f>
        <v/>
      </c>
      <c r="AW41" s="20"/>
      <c r="AX41" s="20"/>
      <c r="AY41" s="20"/>
      <c r="AZ41" s="20" t="str">
        <f>IF(ISNUMBER(SEARCH("Microbiologists",'Data extraction-synthesis'!M40)),"X","")</f>
        <v>X</v>
      </c>
      <c r="BA41" s="20" t="s">
        <v>360</v>
      </c>
      <c r="BB41" s="20" t="s">
        <v>361</v>
      </c>
      <c r="BC41" s="20"/>
      <c r="BD41" s="20" t="str">
        <f>IF(ISNUMBER(SEARCH("Modelers",'Data extraction-synthesis'!M40)),"X","")</f>
        <v/>
      </c>
      <c r="BE41" s="20"/>
      <c r="BF41" s="20"/>
      <c r="BG41" s="20" t="str">
        <f>IF(ISNUMBER(SEARCH("Health economists",'Data extraction-synthesis'!M40)),"X","")</f>
        <v/>
      </c>
      <c r="BH41" s="20"/>
      <c r="BI41" s="20"/>
      <c r="BJ41" s="20" t="str">
        <f>IF(ISNUMBER(SEARCH("Donors",'Data extraction-synthesis'!M40)),"X","")</f>
        <v>X</v>
      </c>
      <c r="BK41" s="20" t="s">
        <v>360</v>
      </c>
      <c r="BL41" s="20" t="s">
        <v>361</v>
      </c>
      <c r="BM41" s="20" t="str">
        <f>IF(ISNUMBER(SEARCH("Market experts",'Data extraction-synthesis'!M40)),"X","")</f>
        <v/>
      </c>
      <c r="BN41" s="20"/>
      <c r="BO41" s="20"/>
      <c r="BP41" s="20"/>
      <c r="BQ41" s="20" t="str">
        <f>IF(ISNUMBER(SEARCH("Program manager",'Data extraction-synthesis'!M40)),"X","")</f>
        <v>X</v>
      </c>
      <c r="BR41" s="20" t="s">
        <v>360</v>
      </c>
      <c r="BS41" s="20" t="s">
        <v>361</v>
      </c>
      <c r="BT41" s="20" t="str">
        <f>IF(ISNUMBER(SEARCH("Scientific associations",'Data extraction-synthesis'!M40)),"X","")</f>
        <v/>
      </c>
      <c r="BU41" s="20"/>
      <c r="BV41" s="20"/>
      <c r="BW41" s="20"/>
      <c r="BX41" s="20" t="str">
        <f>IF(ISNUMBER(SEARCH("Strategists",'Data extraction-synthesis'!M40)),"X","")</f>
        <v>X</v>
      </c>
      <c r="BY41" s="20" t="s">
        <v>360</v>
      </c>
      <c r="BZ41" s="20" t="s">
        <v>361</v>
      </c>
      <c r="CA41" s="20" t="str">
        <f>IF(ISNUMBER(SEARCH("Other",'Data extraction-synthesis'!M40)),"X","")</f>
        <v/>
      </c>
      <c r="CB41" s="20"/>
      <c r="CC41" s="20"/>
    </row>
    <row r="42" spans="1:81" ht="53.4">
      <c r="A42" s="1" t="s">
        <v>58</v>
      </c>
      <c r="B42" s="19" t="s">
        <v>98</v>
      </c>
      <c r="C42" s="20" t="str">
        <f>IF(ISNUMBER(SEARCH("Industry (unspecific)",'Data extraction-synthesis'!M41)),"X","")</f>
        <v>X</v>
      </c>
      <c r="D42" s="20"/>
      <c r="E42" s="20" t="str">
        <f t="shared" si="0"/>
        <v>X</v>
      </c>
      <c r="F42" s="20" t="s">
        <v>362</v>
      </c>
      <c r="G42" s="20"/>
      <c r="H42" s="20"/>
      <c r="I42" s="20" t="str">
        <f>IF(ISNUMBER(SEARCH("Test developers",'Data extraction-synthesis'!M41)),"X","")</f>
        <v/>
      </c>
      <c r="J42" s="20"/>
      <c r="K42" s="20" t="str">
        <f>IF(ISNUMBER(SEARCH("Academia/researchers",'Data extraction-synthesis'!M41)),"X","")</f>
        <v>X</v>
      </c>
      <c r="L42" s="20" t="s">
        <v>362</v>
      </c>
      <c r="M42" s="20"/>
      <c r="N42" s="20"/>
      <c r="O42" s="20" t="str">
        <f>IF(ISNUMBER(SEARCH("Clinicians",'Data extraction-synthesis'!M41)),"X","")</f>
        <v/>
      </c>
      <c r="P42" s="20"/>
      <c r="Q42" s="20"/>
      <c r="R42" s="20"/>
      <c r="S42" s="20" t="str">
        <f>IF(ISNUMBER(SEARCH("Representatives of countries and national disease programs",'Data extraction-synthesis'!M41)),"X","")</f>
        <v/>
      </c>
      <c r="T42" s="20"/>
      <c r="U42" s="20"/>
      <c r="V42" s="20"/>
      <c r="W42" s="20" t="str">
        <f>IF(ISNUMBER(SEARCH("International/public health institution ",'Data extraction-synthesis'!M41)),"X","")</f>
        <v>X</v>
      </c>
      <c r="X42" s="20" t="s">
        <v>362</v>
      </c>
      <c r="Y42" s="20"/>
      <c r="Z42" s="20"/>
      <c r="AA42" s="20" t="str">
        <f>IF(ISNUMBER(SEARCH("Experts (unspecific)",'Data extraction-synthesis'!M41)),"X","")</f>
        <v/>
      </c>
      <c r="AB42" s="20"/>
      <c r="AC42" s="20"/>
      <c r="AD42" s="20" t="str">
        <f>IF(ISNUMBER(SEARCH("Laboratory experts",'Data extraction-synthesis'!M41)),"X","")</f>
        <v/>
      </c>
      <c r="AE42" s="20"/>
      <c r="AF42" s="20"/>
      <c r="AG42" s="20" t="str">
        <f>IF(ISNUMBER(SEARCH("Non-profit sector",'Data extraction-synthesis'!M41)),"X","")</f>
        <v>X</v>
      </c>
      <c r="AH42" s="20" t="s">
        <v>362</v>
      </c>
      <c r="AI42" s="20"/>
      <c r="AJ42" s="20" t="str">
        <f>IF(ISNUMBER(SEARCH("Technical/funding agencies",'Data extraction-synthesis'!M41)),"X","")</f>
        <v/>
      </c>
      <c r="AK42" s="20"/>
      <c r="AL42" s="20"/>
      <c r="AM42" s="20"/>
      <c r="AN42" s="20" t="str">
        <f>IF(ISNUMBER(SEARCH("Policy makers",'Data extraction-synthesis'!M41)),"X","")</f>
        <v/>
      </c>
      <c r="AO42" s="20"/>
      <c r="AP42" s="20"/>
      <c r="AQ42" s="20"/>
      <c r="AR42" s="20" t="str">
        <f>IF(ISNUMBER(SEARCH("Implementers",'Data extraction-synthesis'!M41)),"X","")</f>
        <v/>
      </c>
      <c r="AS42" s="20"/>
      <c r="AT42" s="20"/>
      <c r="AU42" s="20"/>
      <c r="AV42" s="20" t="str">
        <f>IF(ISNUMBER(SEARCH("Patient/community advocates",'Data extraction-synthesis'!M41)),"X","")</f>
        <v/>
      </c>
      <c r="AW42" s="20"/>
      <c r="AX42" s="20"/>
      <c r="AY42" s="20"/>
      <c r="AZ42" s="20" t="str">
        <f>IF(ISNUMBER(SEARCH("Microbiologists",'Data extraction-synthesis'!M41)),"X","")</f>
        <v/>
      </c>
      <c r="BA42" s="20"/>
      <c r="BB42" s="20"/>
      <c r="BC42" s="20"/>
      <c r="BD42" s="20" t="str">
        <f>IF(ISNUMBER(SEARCH("Modelers",'Data extraction-synthesis'!M41)),"X","")</f>
        <v/>
      </c>
      <c r="BE42" s="20"/>
      <c r="BF42" s="20"/>
      <c r="BG42" s="20" t="str">
        <f>IF(ISNUMBER(SEARCH("Health economists",'Data extraction-synthesis'!M41)),"X","")</f>
        <v/>
      </c>
      <c r="BH42" s="20"/>
      <c r="BI42" s="20"/>
      <c r="BJ42" s="20" t="str">
        <f>IF(ISNUMBER(SEARCH("Donors",'Data extraction-synthesis'!M41)),"X","")</f>
        <v/>
      </c>
      <c r="BK42" s="20"/>
      <c r="BL42" s="20"/>
      <c r="BM42" s="20" t="str">
        <f>IF(ISNUMBER(SEARCH("Market experts",'Data extraction-synthesis'!M41)),"X","")</f>
        <v/>
      </c>
      <c r="BN42" s="20"/>
      <c r="BO42" s="20"/>
      <c r="BP42" s="20"/>
      <c r="BQ42" s="20" t="str">
        <f>IF(ISNUMBER(SEARCH("Program manager",'Data extraction-synthesis'!M41)),"X","")</f>
        <v/>
      </c>
      <c r="BR42" s="20"/>
      <c r="BS42" s="20"/>
      <c r="BT42" s="20" t="str">
        <f>IF(ISNUMBER(SEARCH("Scientific associations",'Data extraction-synthesis'!M41)),"X","")</f>
        <v/>
      </c>
      <c r="BU42" s="20"/>
      <c r="BV42" s="20"/>
      <c r="BW42" s="20"/>
      <c r="BX42" s="20" t="str">
        <f>IF(ISNUMBER(SEARCH("Strategists",'Data extraction-synthesis'!M41)),"X","")</f>
        <v/>
      </c>
      <c r="BY42" s="20"/>
      <c r="BZ42" s="20"/>
      <c r="CA42" s="20" t="str">
        <f>IF(ISNUMBER(SEARCH("Other",'Data extraction-synthesis'!M41)),"X","")</f>
        <v/>
      </c>
      <c r="CB42" s="20"/>
      <c r="CC42" s="20"/>
    </row>
    <row r="43" spans="1:81" ht="53.4">
      <c r="A43" s="1" t="s">
        <v>61</v>
      </c>
      <c r="B43" s="19" t="s">
        <v>99</v>
      </c>
      <c r="C43" s="20" t="str">
        <f>IF(ISNUMBER(SEARCH("Industry (unspecific)",'Data extraction-synthesis'!M42)),"X","")</f>
        <v/>
      </c>
      <c r="D43" s="20"/>
      <c r="E43" s="20" t="str">
        <f t="shared" si="0"/>
        <v/>
      </c>
      <c r="F43" s="20"/>
      <c r="G43" s="20"/>
      <c r="H43" s="20"/>
      <c r="I43" s="20" t="str">
        <f>IF(ISNUMBER(SEARCH("Test developers",'Data extraction-synthesis'!M42)),"X","")</f>
        <v/>
      </c>
      <c r="J43" s="20"/>
      <c r="K43" s="20" t="str">
        <f>IF(ISNUMBER(SEARCH("Academia/researchers",'Data extraction-synthesis'!M42)),"X","")</f>
        <v/>
      </c>
      <c r="L43" s="20"/>
      <c r="M43" s="20"/>
      <c r="N43" s="20"/>
      <c r="O43" s="20" t="str">
        <f>IF(ISNUMBER(SEARCH("Clinicians",'Data extraction-synthesis'!M42)),"X","")</f>
        <v/>
      </c>
      <c r="P43" s="20"/>
      <c r="Q43" s="20"/>
      <c r="R43" s="20"/>
      <c r="S43" s="20" t="str">
        <f>IF(ISNUMBER(SEARCH("Representatives of countries and national disease programs",'Data extraction-synthesis'!M42)),"X","")</f>
        <v/>
      </c>
      <c r="T43" s="20"/>
      <c r="U43" s="20"/>
      <c r="V43" s="20"/>
      <c r="W43" s="20" t="str">
        <f>IF(ISNUMBER(SEARCH("International/public health institution ",'Data extraction-synthesis'!M42)),"X","")</f>
        <v/>
      </c>
      <c r="X43" s="20"/>
      <c r="Y43" s="20"/>
      <c r="Z43" s="20"/>
      <c r="AA43" s="20" t="str">
        <f>IF(ISNUMBER(SEARCH("Experts (unspecific)",'Data extraction-synthesis'!M42)),"X","")</f>
        <v/>
      </c>
      <c r="AB43" s="20"/>
      <c r="AC43" s="20"/>
      <c r="AD43" s="20" t="str">
        <f>IF(ISNUMBER(SEARCH("Laboratory experts",'Data extraction-synthesis'!M42)),"X","")</f>
        <v/>
      </c>
      <c r="AE43" s="20"/>
      <c r="AF43" s="20"/>
      <c r="AG43" s="20" t="str">
        <f>IF(ISNUMBER(SEARCH("Non-profit sector",'Data extraction-synthesis'!M42)),"X","")</f>
        <v/>
      </c>
      <c r="AH43" s="20"/>
      <c r="AI43" s="20"/>
      <c r="AJ43" s="20" t="str">
        <f>IF(ISNUMBER(SEARCH("Technical/funding agencies",'Data extraction-synthesis'!M42)),"X","")</f>
        <v/>
      </c>
      <c r="AK43" s="20"/>
      <c r="AL43" s="20"/>
      <c r="AM43" s="20"/>
      <c r="AN43" s="20" t="str">
        <f>IF(ISNUMBER(SEARCH("Policy makers",'Data extraction-synthesis'!M42)),"X","")</f>
        <v/>
      </c>
      <c r="AO43" s="20"/>
      <c r="AP43" s="20"/>
      <c r="AQ43" s="20"/>
      <c r="AR43" s="20" t="str">
        <f>IF(ISNUMBER(SEARCH("Implementers",'Data extraction-synthesis'!M42)),"X","")</f>
        <v/>
      </c>
      <c r="AS43" s="20"/>
      <c r="AT43" s="20"/>
      <c r="AU43" s="20"/>
      <c r="AV43" s="20" t="str">
        <f>IF(ISNUMBER(SEARCH("Patient/community advocates",'Data extraction-synthesis'!M42)),"X","")</f>
        <v/>
      </c>
      <c r="AW43" s="20"/>
      <c r="AX43" s="20"/>
      <c r="AY43" s="20"/>
      <c r="AZ43" s="20" t="str">
        <f>IF(ISNUMBER(SEARCH("Microbiologists",'Data extraction-synthesis'!M42)),"X","")</f>
        <v/>
      </c>
      <c r="BA43" s="20"/>
      <c r="BB43" s="20"/>
      <c r="BC43" s="20"/>
      <c r="BD43" s="20" t="str">
        <f>IF(ISNUMBER(SEARCH("Modelers",'Data extraction-synthesis'!M42)),"X","")</f>
        <v/>
      </c>
      <c r="BE43" s="20"/>
      <c r="BF43" s="20"/>
      <c r="BG43" s="20" t="str">
        <f>IF(ISNUMBER(SEARCH("Health economists",'Data extraction-synthesis'!M42)),"X","")</f>
        <v/>
      </c>
      <c r="BH43" s="20"/>
      <c r="BI43" s="20"/>
      <c r="BJ43" s="20" t="str">
        <f>IF(ISNUMBER(SEARCH("Donors",'Data extraction-synthesis'!M42)),"X","")</f>
        <v/>
      </c>
      <c r="BK43" s="20"/>
      <c r="BL43" s="20"/>
      <c r="BM43" s="20" t="str">
        <f>IF(ISNUMBER(SEARCH("Market experts",'Data extraction-synthesis'!M42)),"X","")</f>
        <v/>
      </c>
      <c r="BN43" s="20"/>
      <c r="BO43" s="20"/>
      <c r="BP43" s="20"/>
      <c r="BQ43" s="20" t="str">
        <f>IF(ISNUMBER(SEARCH("Program manager",'Data extraction-synthesis'!M42)),"X","")</f>
        <v/>
      </c>
      <c r="BR43" s="20"/>
      <c r="BS43" s="20"/>
      <c r="BT43" s="20" t="str">
        <f>IF(ISNUMBER(SEARCH("Scientific associations",'Data extraction-synthesis'!M42)),"X","")</f>
        <v/>
      </c>
      <c r="BU43" s="20"/>
      <c r="BV43" s="20"/>
      <c r="BW43" s="20"/>
      <c r="BX43" s="20" t="str">
        <f>IF(ISNUMBER(SEARCH("Strategists",'Data extraction-synthesis'!M42)),"X","")</f>
        <v/>
      </c>
      <c r="BY43" s="20"/>
      <c r="BZ43" s="20"/>
      <c r="CA43" s="20" t="str">
        <f>IF(ISNUMBER(SEARCH("Other",'Data extraction-synthesis'!M42)),"X","")</f>
        <v/>
      </c>
      <c r="CB43" s="20"/>
      <c r="CC43" s="20"/>
    </row>
    <row r="44" spans="1:81" ht="72">
      <c r="A44" s="5" t="s">
        <v>100</v>
      </c>
      <c r="B44" s="19" t="s">
        <v>101</v>
      </c>
      <c r="C44" s="20" t="str">
        <f>IF(ISNUMBER(SEARCH("Industry (unspecific)",'Data extraction-synthesis'!M43)),"X","")</f>
        <v/>
      </c>
      <c r="D44" s="20">
        <v>1</v>
      </c>
      <c r="E44" s="20" t="str">
        <f t="shared" si="0"/>
        <v>X</v>
      </c>
      <c r="F44" s="20" t="s">
        <v>360</v>
      </c>
      <c r="G44" s="20" t="s">
        <v>361</v>
      </c>
      <c r="H44" s="20"/>
      <c r="I44" s="20" t="str">
        <f>IF(ISNUMBER(SEARCH("Test developers",'Data extraction-synthesis'!M43)),"X","")</f>
        <v>X</v>
      </c>
      <c r="J44" s="20"/>
      <c r="K44" s="20" t="str">
        <f>IF(ISNUMBER(SEARCH("Academia/researchers",'Data extraction-synthesis'!M43)),"X","")</f>
        <v>X</v>
      </c>
      <c r="L44" s="20" t="s">
        <v>360</v>
      </c>
      <c r="M44" s="20" t="s">
        <v>361</v>
      </c>
      <c r="N44" s="20"/>
      <c r="O44" s="20" t="str">
        <f>IF(ISNUMBER(SEARCH("Clinicians",'Data extraction-synthesis'!M43)),"X","")</f>
        <v>X</v>
      </c>
      <c r="P44" s="20" t="s">
        <v>361</v>
      </c>
      <c r="Q44" s="20" t="s">
        <v>360</v>
      </c>
      <c r="R44" s="20"/>
      <c r="S44" s="20" t="str">
        <f>IF(ISNUMBER(SEARCH("Representatives of countries and national disease programs",'Data extraction-synthesis'!M43)),"X","")</f>
        <v/>
      </c>
      <c r="T44" s="20"/>
      <c r="U44" s="20"/>
      <c r="V44" s="20"/>
      <c r="W44" s="20" t="str">
        <f>IF(ISNUMBER(SEARCH("International/public health institution ",'Data extraction-synthesis'!M43)),"X","")</f>
        <v/>
      </c>
      <c r="X44" s="20"/>
      <c r="Y44" s="20"/>
      <c r="Z44" s="20"/>
      <c r="AA44" s="20" t="str">
        <f>IF(ISNUMBER(SEARCH("Experts (unspecific)",'Data extraction-synthesis'!M43)),"X","")</f>
        <v/>
      </c>
      <c r="AB44" s="20"/>
      <c r="AC44" s="20"/>
      <c r="AD44" s="20" t="str">
        <f>IF(ISNUMBER(SEARCH("Laboratory experts",'Data extraction-synthesis'!M43)),"X","")</f>
        <v/>
      </c>
      <c r="AE44" s="20"/>
      <c r="AF44" s="20"/>
      <c r="AG44" s="20" t="str">
        <f>IF(ISNUMBER(SEARCH("Non-profit sector",'Data extraction-synthesis'!M43)),"X","")</f>
        <v/>
      </c>
      <c r="AH44" s="20"/>
      <c r="AI44" s="20"/>
      <c r="AJ44" s="20" t="str">
        <f>IF(ISNUMBER(SEARCH("Technical/funding agencies",'Data extraction-synthesis'!M43)),"X","")</f>
        <v>X</v>
      </c>
      <c r="AK44" s="20" t="s">
        <v>361</v>
      </c>
      <c r="AL44" s="20" t="s">
        <v>360</v>
      </c>
      <c r="AM44" s="20"/>
      <c r="AN44" s="20" t="str">
        <f>IF(ISNUMBER(SEARCH("Policy makers",'Data extraction-synthesis'!M43)),"X","")</f>
        <v/>
      </c>
      <c r="AO44" s="20"/>
      <c r="AP44" s="20"/>
      <c r="AQ44" s="20"/>
      <c r="AR44" s="20" t="str">
        <f>IF(ISNUMBER(SEARCH("Implementers",'Data extraction-synthesis'!M43)),"X","")</f>
        <v/>
      </c>
      <c r="AS44" s="20"/>
      <c r="AT44" s="20"/>
      <c r="AU44" s="20"/>
      <c r="AV44" s="20" t="str">
        <f>IF(ISNUMBER(SEARCH("Patient/community advocates",'Data extraction-synthesis'!M43)),"X","")</f>
        <v/>
      </c>
      <c r="AW44" s="20"/>
      <c r="AX44" s="20"/>
      <c r="AY44" s="20"/>
      <c r="AZ44" s="20" t="str">
        <f>IF(ISNUMBER(SEARCH("Microbiologists",'Data extraction-synthesis'!M43)),"X","")</f>
        <v/>
      </c>
      <c r="BA44" s="20"/>
      <c r="BB44" s="20"/>
      <c r="BC44" s="20"/>
      <c r="BD44" s="20" t="str">
        <f>IF(ISNUMBER(SEARCH("Modelers",'Data extraction-synthesis'!M43)),"X","")</f>
        <v/>
      </c>
      <c r="BE44" s="20"/>
      <c r="BF44" s="20"/>
      <c r="BG44" s="20" t="str">
        <f>IF(ISNUMBER(SEARCH("Health economists",'Data extraction-synthesis'!M43)),"X","")</f>
        <v/>
      </c>
      <c r="BH44" s="20"/>
      <c r="BI44" s="20"/>
      <c r="BJ44" s="20" t="str">
        <f>IF(ISNUMBER(SEARCH("Donors",'Data extraction-synthesis'!M43)),"X","")</f>
        <v/>
      </c>
      <c r="BK44" s="20"/>
      <c r="BL44" s="20"/>
      <c r="BM44" s="20" t="str">
        <f>IF(ISNUMBER(SEARCH("Market experts",'Data extraction-synthesis'!M43)),"X","")</f>
        <v/>
      </c>
      <c r="BN44" s="20"/>
      <c r="BO44" s="20"/>
      <c r="BP44" s="20"/>
      <c r="BQ44" s="20" t="str">
        <f>IF(ISNUMBER(SEARCH("Program manager",'Data extraction-synthesis'!M43)),"X","")</f>
        <v/>
      </c>
      <c r="BR44" s="20"/>
      <c r="BS44" s="20"/>
      <c r="BT44" s="20" t="str">
        <f>IF(ISNUMBER(SEARCH("Scientific associations",'Data extraction-synthesis'!M43)),"X","")</f>
        <v/>
      </c>
      <c r="BU44" s="20"/>
      <c r="BV44" s="20"/>
      <c r="BW44" s="20"/>
      <c r="BX44" s="20" t="str">
        <f>IF(ISNUMBER(SEARCH("Strategists",'Data extraction-synthesis'!M43)),"X","")</f>
        <v/>
      </c>
      <c r="BY44" s="20"/>
      <c r="BZ44" s="20"/>
      <c r="CA44" s="20" t="str">
        <f>IF(ISNUMBER(SEARCH("Other",'Data extraction-synthesis'!M43)),"X","")</f>
        <v>X</v>
      </c>
      <c r="CB44" s="20" t="s">
        <v>360</v>
      </c>
      <c r="CC44" s="20" t="s">
        <v>361</v>
      </c>
    </row>
    <row r="45" spans="1:81" ht="93">
      <c r="A45" s="1" t="s">
        <v>61</v>
      </c>
      <c r="B45" s="19" t="s">
        <v>103</v>
      </c>
      <c r="C45" s="20" t="str">
        <f>IF(ISNUMBER(SEARCH("Industry (unspecific)",'Data extraction-synthesis'!M44)),"X","")</f>
        <v/>
      </c>
      <c r="D45" s="20"/>
      <c r="E45" s="20" t="str">
        <f t="shared" si="0"/>
        <v/>
      </c>
      <c r="F45" s="20"/>
      <c r="G45" s="20"/>
      <c r="H45" s="20"/>
      <c r="I45" s="20" t="str">
        <f>IF(ISNUMBER(SEARCH("Test developers",'Data extraction-synthesis'!M44)),"X","")</f>
        <v/>
      </c>
      <c r="J45" s="20"/>
      <c r="K45" s="20" t="str">
        <f>IF(ISNUMBER(SEARCH("Academia/researchers",'Data extraction-synthesis'!M44)),"X","")</f>
        <v/>
      </c>
      <c r="L45" s="20"/>
      <c r="M45" s="20"/>
      <c r="N45" s="20"/>
      <c r="O45" s="20" t="str">
        <f>IF(ISNUMBER(SEARCH("Clinicians",'Data extraction-synthesis'!M44)),"X","")</f>
        <v/>
      </c>
      <c r="P45" s="20"/>
      <c r="Q45" s="20"/>
      <c r="R45" s="20"/>
      <c r="S45" s="20" t="str">
        <f>IF(ISNUMBER(SEARCH("Representatives of countries and national disease programs",'Data extraction-synthesis'!M44)),"X","")</f>
        <v/>
      </c>
      <c r="T45" s="20"/>
      <c r="U45" s="20"/>
      <c r="V45" s="20"/>
      <c r="W45" s="20" t="str">
        <f>IF(ISNUMBER(SEARCH("International/public health institution ",'Data extraction-synthesis'!M44)),"X","")</f>
        <v/>
      </c>
      <c r="X45" s="20"/>
      <c r="Y45" s="20"/>
      <c r="Z45" s="20"/>
      <c r="AA45" s="20" t="str">
        <f>IF(ISNUMBER(SEARCH("Experts (unspecific)",'Data extraction-synthesis'!M44)),"X","")</f>
        <v/>
      </c>
      <c r="AB45" s="20"/>
      <c r="AC45" s="20"/>
      <c r="AD45" s="20" t="str">
        <f>IF(ISNUMBER(SEARCH("Laboratory experts",'Data extraction-synthesis'!M44)),"X","")</f>
        <v/>
      </c>
      <c r="AE45" s="20"/>
      <c r="AF45" s="20"/>
      <c r="AG45" s="20" t="str">
        <f>IF(ISNUMBER(SEARCH("Non-profit sector",'Data extraction-synthesis'!M44)),"X","")</f>
        <v/>
      </c>
      <c r="AH45" s="20"/>
      <c r="AI45" s="20"/>
      <c r="AJ45" s="20" t="str">
        <f>IF(ISNUMBER(SEARCH("Technical/funding agencies",'Data extraction-synthesis'!M44)),"X","")</f>
        <v/>
      </c>
      <c r="AK45" s="20"/>
      <c r="AL45" s="20"/>
      <c r="AM45" s="20"/>
      <c r="AN45" s="20" t="str">
        <f>IF(ISNUMBER(SEARCH("Policy makers",'Data extraction-synthesis'!M44)),"X","")</f>
        <v/>
      </c>
      <c r="AO45" s="20"/>
      <c r="AP45" s="20"/>
      <c r="AQ45" s="20"/>
      <c r="AR45" s="20" t="str">
        <f>IF(ISNUMBER(SEARCH("Implementers",'Data extraction-synthesis'!M44)),"X","")</f>
        <v/>
      </c>
      <c r="AS45" s="20"/>
      <c r="AT45" s="20"/>
      <c r="AU45" s="20"/>
      <c r="AV45" s="20" t="str">
        <f>IF(ISNUMBER(SEARCH("Patient/community advocates",'Data extraction-synthesis'!M44)),"X","")</f>
        <v/>
      </c>
      <c r="AW45" s="20"/>
      <c r="AX45" s="20"/>
      <c r="AY45" s="20"/>
      <c r="AZ45" s="20" t="str">
        <f>IF(ISNUMBER(SEARCH("Microbiologists",'Data extraction-synthesis'!M44)),"X","")</f>
        <v/>
      </c>
      <c r="BA45" s="20"/>
      <c r="BB45" s="20"/>
      <c r="BC45" s="20"/>
      <c r="BD45" s="20" t="str">
        <f>IF(ISNUMBER(SEARCH("Modelers",'Data extraction-synthesis'!M44)),"X","")</f>
        <v/>
      </c>
      <c r="BE45" s="20"/>
      <c r="BF45" s="20"/>
      <c r="BG45" s="20" t="str">
        <f>IF(ISNUMBER(SEARCH("Health economists",'Data extraction-synthesis'!M44)),"X","")</f>
        <v/>
      </c>
      <c r="BH45" s="20"/>
      <c r="BI45" s="20"/>
      <c r="BJ45" s="20" t="str">
        <f>IF(ISNUMBER(SEARCH("Donors",'Data extraction-synthesis'!M44)),"X","")</f>
        <v/>
      </c>
      <c r="BK45" s="20"/>
      <c r="BL45" s="20"/>
      <c r="BM45" s="20" t="str">
        <f>IF(ISNUMBER(SEARCH("Market experts",'Data extraction-synthesis'!M44)),"X","")</f>
        <v/>
      </c>
      <c r="BN45" s="20"/>
      <c r="BO45" s="20"/>
      <c r="BP45" s="20"/>
      <c r="BQ45" s="20" t="str">
        <f>IF(ISNUMBER(SEARCH("Program manager",'Data extraction-synthesis'!M44)),"X","")</f>
        <v/>
      </c>
      <c r="BR45" s="20"/>
      <c r="BS45" s="20"/>
      <c r="BT45" s="20" t="str">
        <f>IF(ISNUMBER(SEARCH("Scientific associations",'Data extraction-synthesis'!M44)),"X","")</f>
        <v/>
      </c>
      <c r="BU45" s="20"/>
      <c r="BV45" s="20"/>
      <c r="BW45" s="20"/>
      <c r="BX45" s="20" t="str">
        <f>IF(ISNUMBER(SEARCH("Strategists",'Data extraction-synthesis'!M44)),"X","")</f>
        <v/>
      </c>
      <c r="BY45" s="20"/>
      <c r="BZ45" s="20"/>
      <c r="CA45" s="20" t="str">
        <f>IF(ISNUMBER(SEARCH("Other",'Data extraction-synthesis'!M44)),"X","")</f>
        <v/>
      </c>
      <c r="CB45" s="20"/>
      <c r="CC45" s="20"/>
    </row>
    <row r="46" spans="1:81" ht="66.6">
      <c r="A46" s="39" t="s">
        <v>347</v>
      </c>
      <c r="B46" s="4" t="s">
        <v>348</v>
      </c>
      <c r="C46" s="20" t="str">
        <f>IF(ISNUMBER(SEARCH("Industry (unspecific)",'Data extraction-synthesis'!M45)),"X","")</f>
        <v/>
      </c>
      <c r="D46" s="51"/>
      <c r="E46" s="20" t="str">
        <f t="shared" si="0"/>
        <v/>
      </c>
      <c r="F46" s="51"/>
      <c r="G46" s="51"/>
      <c r="H46" s="51"/>
      <c r="I46" s="20" t="str">
        <f>IF(ISNUMBER(SEARCH("Test developers",'Data extraction-synthesis'!M45)),"X","")</f>
        <v/>
      </c>
      <c r="J46" s="51"/>
      <c r="K46" s="20" t="str">
        <f>IF(ISNUMBER(SEARCH("Academia/researchers",'Data extraction-synthesis'!M45)),"X","")</f>
        <v/>
      </c>
      <c r="L46" s="51"/>
      <c r="M46" s="51"/>
      <c r="N46" s="51"/>
      <c r="O46" s="20" t="str">
        <f>IF(ISNUMBER(SEARCH("Clinicians",'Data extraction-synthesis'!M45)),"X","")</f>
        <v/>
      </c>
      <c r="P46" s="51"/>
      <c r="Q46" s="51"/>
      <c r="R46" s="51"/>
      <c r="S46" s="20" t="str">
        <f>IF(ISNUMBER(SEARCH("Representatives of countries and national disease programs",'Data extraction-synthesis'!M45)),"X","")</f>
        <v/>
      </c>
      <c r="T46" s="51"/>
      <c r="U46" s="51"/>
      <c r="V46" s="51"/>
      <c r="W46" s="20" t="str">
        <f>IF(ISNUMBER(SEARCH("International/public health institution ",'Data extraction-synthesis'!M45)),"X","")</f>
        <v/>
      </c>
      <c r="X46" s="51"/>
      <c r="Y46" s="51"/>
      <c r="Z46" s="51"/>
      <c r="AA46" s="20" t="str">
        <f>IF(ISNUMBER(SEARCH("Experts (unspecific)",'Data extraction-synthesis'!M45)),"X","")</f>
        <v/>
      </c>
      <c r="AB46" s="51"/>
      <c r="AC46" s="51"/>
      <c r="AD46" s="20" t="str">
        <f>IF(ISNUMBER(SEARCH("Laboratory experts",'Data extraction-synthesis'!M45)),"X","")</f>
        <v/>
      </c>
      <c r="AE46" s="51"/>
      <c r="AF46" s="51"/>
      <c r="AG46" s="20" t="str">
        <f>IF(ISNUMBER(SEARCH("Non-profit sector",'Data extraction-synthesis'!M45)),"X","")</f>
        <v/>
      </c>
      <c r="AH46" s="51"/>
      <c r="AI46" s="51"/>
      <c r="AJ46" s="20" t="str">
        <f>IF(ISNUMBER(SEARCH("Technical/funding agencies",'Data extraction-synthesis'!M45)),"X","")</f>
        <v/>
      </c>
      <c r="AK46" s="51"/>
      <c r="AL46" s="51"/>
      <c r="AM46" s="51"/>
      <c r="AN46" s="20" t="str">
        <f>IF(ISNUMBER(SEARCH("Policy makers",'Data extraction-synthesis'!M45)),"X","")</f>
        <v/>
      </c>
      <c r="AO46" s="51"/>
      <c r="AP46" s="51"/>
      <c r="AQ46" s="51"/>
      <c r="AR46" s="20" t="str">
        <f>IF(ISNUMBER(SEARCH("Implementers",'Data extraction-synthesis'!M45)),"X","")</f>
        <v/>
      </c>
      <c r="AS46" s="51"/>
      <c r="AT46" s="51"/>
      <c r="AU46" s="51"/>
      <c r="AV46" s="20" t="str">
        <f>IF(ISNUMBER(SEARCH("Patient/community advocates",'Data extraction-synthesis'!M45)),"X","")</f>
        <v/>
      </c>
      <c r="AW46" s="51"/>
      <c r="AX46" s="51"/>
      <c r="AY46" s="51"/>
      <c r="AZ46" s="20" t="str">
        <f>IF(ISNUMBER(SEARCH("Microbiologists",'Data extraction-synthesis'!M45)),"X","")</f>
        <v/>
      </c>
      <c r="BA46" s="51"/>
      <c r="BB46" s="51"/>
      <c r="BC46" s="51"/>
      <c r="BD46" s="20" t="str">
        <f>IF(ISNUMBER(SEARCH("Modelers",'Data extraction-synthesis'!M45)),"X","")</f>
        <v/>
      </c>
      <c r="BE46" s="51"/>
      <c r="BF46" s="51"/>
      <c r="BG46" s="20" t="str">
        <f>IF(ISNUMBER(SEARCH("Health economists",'Data extraction-synthesis'!M45)),"X","")</f>
        <v/>
      </c>
      <c r="BH46" s="51"/>
      <c r="BI46" s="51"/>
      <c r="BJ46" s="20" t="str">
        <f>IF(ISNUMBER(SEARCH("Donors",'Data extraction-synthesis'!M45)),"X","")</f>
        <v/>
      </c>
      <c r="BK46" s="20"/>
      <c r="BL46" s="20"/>
      <c r="BM46" s="20" t="str">
        <f>IF(ISNUMBER(SEARCH("Market experts",'Data extraction-synthesis'!M45)),"X","")</f>
        <v/>
      </c>
      <c r="BN46" s="51"/>
      <c r="BO46" s="51"/>
      <c r="BP46" s="51"/>
      <c r="BQ46" s="20" t="str">
        <f>IF(ISNUMBER(SEARCH("Program manager",'Data extraction-synthesis'!M45)),"X","")</f>
        <v/>
      </c>
      <c r="BR46" s="51"/>
      <c r="BS46" s="51"/>
      <c r="BT46" s="20" t="str">
        <f>IF(ISNUMBER(SEARCH("Scientific associations",'Data extraction-synthesis'!M45)),"X","")</f>
        <v/>
      </c>
      <c r="BU46" s="51"/>
      <c r="BV46" s="51"/>
      <c r="BW46" s="51"/>
      <c r="BX46" s="20" t="str">
        <f>IF(ISNUMBER(SEARCH("Strategists",'Data extraction-synthesis'!M45)),"X","")</f>
        <v/>
      </c>
      <c r="BY46" s="51"/>
      <c r="BZ46" s="51"/>
      <c r="CA46" s="20" t="str">
        <f>IF(ISNUMBER(SEARCH("Other",'Data extraction-synthesis'!M45)),"X","")</f>
        <v/>
      </c>
      <c r="CB46" s="51"/>
      <c r="CC46" s="51"/>
    </row>
    <row r="47" spans="1:18" ht="15.75">
      <c r="A47" s="59"/>
      <c r="B47" s="59" t="s">
        <v>363</v>
      </c>
      <c r="C47" s="32"/>
      <c r="D47" s="32"/>
      <c r="E47" s="32"/>
      <c r="F47" s="32"/>
      <c r="G47" s="32"/>
      <c r="H47" s="32"/>
      <c r="I47" s="32"/>
      <c r="J47" s="32"/>
      <c r="K47" s="32"/>
      <c r="L47" s="32"/>
      <c r="M47" s="32"/>
      <c r="N47" s="32"/>
      <c r="O47" s="32"/>
      <c r="P47" s="32"/>
      <c r="Q47" s="32"/>
      <c r="R47" s="32"/>
    </row>
    <row r="48" spans="2:79" ht="15.75">
      <c r="B48" t="s">
        <v>360</v>
      </c>
      <c r="E48">
        <f>COUNTIFS($E$3:$E$46,"X",$F$3:$F$46,"Scoping")+COUNTIFS($E$3:$E$46,"X",$G$3:$G$46,"Scoping")+COUNTIFS($E$3:$E$46,"X",$H$3:$H$46,"Scoping")</f>
        <v>11</v>
      </c>
      <c r="K48">
        <f>COUNTIFS($K$3:$K$46,"X",$L$3:$L$46,"Scoping")+COUNTIFS(K3:K46,"X",M3:M46,"Scoping")+COUNTIFS(K3:K46,"X",N3:N46,"Scoping")</f>
        <v>14</v>
      </c>
      <c r="O48">
        <f>COUNTIFS($O$3:$O$46,"X",$P$3:$P$46,"Scoping")+COUNTIFS($O$3:$O$46,"X",$Q$3:$Q$46,"Scoping")+COUNTIFS($O$3:$O$46,"X",$R$3:$R$46,"Scoping")</f>
        <v>7</v>
      </c>
      <c r="S48">
        <f>COUNTIFS($S$3:$S$46,"X",$T$3:$T$46,"Scoping")+COUNTIFS($S$3:$S$46,"X",$U$3:$U$46,"Scoping")+COUNTIFS($S$3:$S$46,"X",$V$3:$V$46,"Scoping")</f>
        <v>5</v>
      </c>
      <c r="W48">
        <f>COUNTIFS($W$3:$W$46,"X",$X$3:$X$46,"Scoping")+COUNTIFS($W$3:$W$46,"X",$Y$3:$Y$46,"Scoping")+COUNTIFS($W$3:$W$46,"X",$Z$3:$Z$46,"Scoping")</f>
        <v>9</v>
      </c>
      <c r="AA48">
        <f>COUNTIFS($AA$3:$AA$46,"X",$AB$3:$AB$46,"Scoping")+COUNTIFS($AA$3:$AA$46,"X",$AC$3:$AC$46,"Scoping")</f>
        <v>1</v>
      </c>
      <c r="AD48">
        <f>COUNTIFS($AD$3:$AD$46,"X",$AE$3:$AE$46,"Scoping")+COUNTIFS($AD$3:$AD$46,"X",$AF$3:$AF$46,"Scoping")</f>
        <v>3</v>
      </c>
      <c r="AG48">
        <f>COUNTIFS($AG$3:$AG$46,"X",$AH$3:$AH$46,"Scoping")+COUNTIFS($AG$3:$AG$46,"X",$AI$3:$AI$46,"Scoping")</f>
        <v>1</v>
      </c>
      <c r="AJ48">
        <f>COUNTIFS($AJ$3:$AJ$46,"X",$AK$3:$AK$46,"Scoping")+COUNTIFS($AJ$3:$AJ$46,"X",$AL$3:$AL$46,"Scoping")+COUNTIFS($AJ$3:$AJ$46,"X",$AM$3:$AM$46,"Scoping")</f>
        <v>2</v>
      </c>
      <c r="AN48">
        <f>COUNTIFS($AN$3:$AN$46,"X",$AO$3:$AO$46,"Scoping")+COUNTIFS($AN$3:$AN$46,"X",$AP$3:$AP$46,"Scoping")+COUNTIFS(AN3:AN46,"X",AQ3:AQ46,"Scoping")</f>
        <v>4</v>
      </c>
      <c r="AR48">
        <f>COUNTIFS($AR$3:$AR$46,"X",$AS$3:$AS$46,"Scoping")+COUNTIFS($AR$3:$AR$46,"X",$AT$3:$AT$46,"Scoping")+COUNTIFS($AR$3:$AR$46,"X",$AU$3:$AU$46,"Scoping")</f>
        <v>2</v>
      </c>
      <c r="AV48">
        <f>COUNTIFS($AV$3:$AV$46,"X",$AW$3:$AW$46,"Scoping")+COUNTIFS($AV$3:$AV$46,"X",$AX$3:$AX$46,"Scoping")+COUNTIFS($AV$3:$AV$46,"X",$AY$3:$AY$46,"Scoping")</f>
        <v>2</v>
      </c>
      <c r="AZ48">
        <f>COUNTIFS($AZ$3:$AZ$46,"X",$BA$3:$BA$46,"Scoping")+COUNTIFS($AZ$3:$AZ$46,"X",$BC$3:$BC$46,"Scoping")+COUNTIFS(AZ3:AZ46,"X",BB3:BB46,"Scoping")</f>
        <v>2</v>
      </c>
      <c r="BD48">
        <f>COUNTIFS($BD$3:$BD$46,"X",$BE$3:$BE$46,"Scoping")+COUNTIFS($BD$3:$BD$46,"X",$BF$3:$BF$46,"Scoping")</f>
        <v>1</v>
      </c>
      <c r="BG48">
        <f>COUNTIFS($BG$3:$BG$46,"X",$BH$3:$BH$46,"Scoping")+COUNTIFS($BG$3:$BG$46,"X",$BI$3:$BI$46,"Scoping")</f>
        <v>0</v>
      </c>
      <c r="BJ48">
        <f>COUNTIFS($BJ$3:$BJ$46,"X",$BK$3:$BK$46,"Scoping")+COUNTIFS($BJ$3:$BJ$46,"X",$BL$3:$BL$46,"Scoping")</f>
        <v>2</v>
      </c>
      <c r="BM48">
        <f>COUNTIFS($BM$3:$BM$46,"X",$BN$3:$BN$46,"Scoping")+COUNTIFS($BM$3:$BM$46,"X",$BO$3:$BO$46,"Scoping")+COUNTIFS($BM$3:$BM$46,"X",$BP$3:$BP$46,"Scoping")</f>
        <v>2</v>
      </c>
      <c r="BQ48">
        <f>COUNTIFS($BQ$3:$BQ$46,"X",$BR$3:$BR$46,"Scoping")+COUNTIFS($BQ$3:$BQ$46,"X",$BS$3:$BS$46,"Scoping")</f>
        <v>1</v>
      </c>
      <c r="BT48">
        <f>COUNTIFS($BT$3:$BT$46,"X",$BU$3:$BU$46,"Drafting")+COUNTIFS($BT$3:$BT$46,"X",$BV$3:$BV$46,"Scoping")+COUNTIFS(BT3:BT46,"X",BW3:BW46,"Scoping")</f>
        <v>1</v>
      </c>
      <c r="BX48">
        <f>COUNTIFS($BX$3:$BX$46,"X",$BY$3:$BY$46,"Scoping")+COUNTIFS($BX$3:$BX$46,"X",$BZ$3:$BZ$46,"Scoping")</f>
        <v>1</v>
      </c>
      <c r="CA48">
        <f>COUNTIFS($CA$3:$CA$46,"X",$CB$3:$CB$46,"Scoping")+COUNTIFS($CA$3:$CA$46,"X",$CC$3:$CC$46,"Scoping")</f>
        <v>2</v>
      </c>
    </row>
    <row r="49" spans="2:79" ht="15.75">
      <c r="B49" t="s">
        <v>361</v>
      </c>
      <c r="E49">
        <f>COUNTIFS($E$3:$E$46,"X",$F$3:$F$46,"Drafting")+COUNTIFS($E$3:$E$46,"X",$G$3:$G$46,"Drafting")+COUNTIFS($E$3:$E$46,"X",$H$3:$H$46,"Drafting")</f>
        <v>11</v>
      </c>
      <c r="K49">
        <f>COUNTIFS(K3:K46,"X",L3:L46,"Drafting")+COUNTIFS(K3:K46,"X",M3:M46,"Drafting")+COUNTIFS(K3:K46,"X",N3:N46,"Drafting")</f>
        <v>15</v>
      </c>
      <c r="O49">
        <f>COUNTIFS($O$3:$O$46,"X",$P$3:$P$46,"Drafting")+COUNTIFS($O$3:$O$46,"X",$Q$3:$Q$46,"Drafting")+COUNTIFS($O$3:$O$46,"X",$R$3:$R$46,"Drafting")</f>
        <v>8</v>
      </c>
      <c r="S49">
        <f>COUNTIFS($S$3:$S$46,"X",$T$3:$T$46,"Drafting")+COUNTIFS($S$3:$S$46,"X",$U$3:$U$46,"Drafting")+COUNTIFS($S$3:$S$46,"X",$V$3:$V$46,"Drafting")</f>
        <v>4</v>
      </c>
      <c r="W49">
        <f>COUNTIFS($W$3:$W$46,"X",$X$3:$X$46,"Drafting")+COUNTIFS($W$3:$W$46,"X",$Y$3:$Y$46,"Drafting")+COUNTIFS($W$3:$W$46,"X",$Z$3:$Z$46,"Drafting")</f>
        <v>12</v>
      </c>
      <c r="AA49">
        <f>COUNTIFS($AA$3:$AA$46,"X",$AB$3:$AB$46,"Drafting")+COUNTIFS($AA$3:$AA$46,"X",$AC$3:$AC$46,"Drafting")</f>
        <v>3</v>
      </c>
      <c r="AD49">
        <f>COUNTIFS($AD$3:$AD$46,"X",$AE$3:$AE$46,"Drafting")+COUNTIFS($AD$3:$AD$46,"X",$AF$3:$AF$46,"Drafting")</f>
        <v>5</v>
      </c>
      <c r="AG49">
        <f>COUNTIFS($AG$3:$AG$46,"X",$AH$3:$AH$46,"Drafting")+COUNTIFS($AG$3:$AG$46,"X",$AI$3:$AI$46,"Drafting")</f>
        <v>2</v>
      </c>
      <c r="AJ49">
        <f>COUNTIFS($AJ$3:$AJ$46,"X",$AK$3:$AK$46,"Drafting")+COUNTIFS($AJ$3:$AJ$46,"X",$AL$3:$AL$46,"Drafting")+COUNTIFS($AJ$3:$AJ$46,"X",$AM$3:$AM$46,"Drafting")</f>
        <v>3</v>
      </c>
      <c r="AN49">
        <f>COUNTIFS($AN$3:$AN$46,"X",$AO$3:$AO$46,"Drafting")+COUNTIFS($AN$3:$AN$46,"X",$AP$3:$AP$46,"Drafting")+COUNTIFS(AN3:AN46,"X",AQ3:AQ46,"Drafting")</f>
        <v>5</v>
      </c>
      <c r="AR49">
        <f>COUNTIFS($AR$3:$AR$46,"X",$AS$3:$AS$46,"Drafting")+COUNTIFS($AR$3:$AR$46,"X",$AT$3:$AT$46,"Drafting")+COUNTIFS($AR$3:$AR$46,"X",$AU$3:$AU$46,"Drafting")</f>
        <v>2</v>
      </c>
      <c r="AV49">
        <f>COUNTIFS($AV$3:$AV$46,"X",$AW$3:$AW$46,"Drafting")+COUNTIFS($AV$3:$AV$46,"X",$AX$3:$AX$46,"Drafting")+COUNTIFS($AV$3:$AV$46,"X",$AY$3:$AY$46,"Drafting")</f>
        <v>1</v>
      </c>
      <c r="AZ49">
        <f>COUNTIFS($AZ$3:$AZ$46,"X",$BA$3:$BA$46,"Drafting")+COUNTIFS($AZ$3:$AZ$46,"X",$BC$3:$BC$46,"Drafting")+COUNTIFS(AZ3:AZ46,"X",BB3:BB46,"Drafting")</f>
        <v>4</v>
      </c>
      <c r="BD49">
        <f>COUNTIFS($BD$3:$BD$46,"X",$BE$3:$BE$46,"Drafting")+COUNTIFS($BD$3:$BD$46,"X",$BF$3:$BF$46,"Drafting")</f>
        <v>1</v>
      </c>
      <c r="BG49">
        <f>COUNTIFS($BG$3:$BG$46,"X",$BH$3:$BH$46,"Drafting")+COUNTIFS($BG$3:$BG$46,"X",$BI$3:$BI$46,"Drafting")</f>
        <v>2</v>
      </c>
      <c r="BJ49">
        <f>COUNTIFS($BJ$3:$BJ$46,"X",$BK$3:$BK$46,"Drafting")+COUNTIFS($BJ$3:$BJ$46,"X",$BL$3:$BL$46,"Drafting")</f>
        <v>3</v>
      </c>
      <c r="BM49">
        <f>COUNTIFS($BM$3:$BM$46,"X",$BN$3:$BN$46,"Drafting")+COUNTIFS($BM$3:$BM$46,"X",$BO$3:$BO$46,"Drafting")+COUNTIFS($BM$3:$BM$46,"X",$BP$3:$BP$46,"Drafting")</f>
        <v>1</v>
      </c>
      <c r="BQ49">
        <f>COUNTIFS($BQ$3:$BQ$46,"X",$BR$3:$BR$46,"Drafting")+COUNTIFS($BQ$3:$BQ$46,"X",$BS$3:$BS$46,"Drafting")</f>
        <v>2</v>
      </c>
      <c r="BT49">
        <f>COUNTIFS($BT$3:$BT$46,"X",$BU$3:$BU$46,"Scoping")+COUNTIFS($BT$3:$BT$46,"X",$BV$3:$BV$46,"Drafting")+COUNTIFS(BT3:BT46,"X",BW3:BW46,"Drafting")</f>
        <v>3</v>
      </c>
      <c r="BX49">
        <f>COUNTIFS($BX$3:$BX$46,"X",$BY$3:$BY$46,"Drafting")+COUNTIFS($BX$3:$BX$46,"X",$BZ$3:$BZ$46,"Drafting")</f>
        <v>1</v>
      </c>
      <c r="CA49">
        <f>COUNTIFS($CA$3:$CA$46,"X",$CB$3:$CB$46,"Drafting")+COUNTIFS($CA$3:$CA$46,"X",$CC$3:$CC$46,"Drafting")</f>
        <v>2</v>
      </c>
    </row>
    <row r="50" spans="1:79" ht="15.75">
      <c r="A50" s="10"/>
      <c r="B50" s="10" t="s">
        <v>362</v>
      </c>
      <c r="E50">
        <f>COUNTIFS($E$3:$E$46,"X",$F$3:$F$46,"Consensus-building")+COUNTIFS($E$3:$E$46,"X",$G$3:$G$46,"Consensus-building")+COUNTIFS($E$3:$E$46,"X",$H$3:$H$46,"Consensus-building")</f>
        <v>14</v>
      </c>
      <c r="K50">
        <f>COUNTIFS(K3:K46,"X",L3:L46,"Consensus-building")+COUNTIFS(K3:K46,"X",M3:M46,"Consensus-building")+COUNTIFS(K3:K46,"X",N3:N46,"Consensus-building")</f>
        <v>14</v>
      </c>
      <c r="O50">
        <f>COUNTIFS($O$3:$O$46,"X",$P$3:$P$46,"Consensus-building")+COUNTIFS($O$3:$O$46,"X",$Q$3:$Q$46,"Consensus-building")+COUNTIFS($O$3:$O$46,"X",$R$3:$R$46,"Consensus-building")</f>
        <v>8</v>
      </c>
      <c r="S50">
        <f>COUNTIFS($S$3:$S$46,"X",$T$3:$T$46,"Consensus-building")+COUNTIFS($S$3:$S$46,"X",$U$3:$U$46,"Consensus-building")+COUNTIFS($S$3:$S$46,"X",$V$3:$V$46,"Consensus-building")</f>
        <v>8</v>
      </c>
      <c r="W50">
        <f>COUNTIFS($W$3:$W$46,"X",$X$3:$X$46,"Consensus-building")+COUNTIFS($W$3:$W$46,"X",$Y$3:$Y$46,"Consensus-building")+COUNTIFS($W$3:$W$46,"X",$Z$3:$Z$46,"Consensus-building")</f>
        <v>12</v>
      </c>
      <c r="AA50">
        <f>COUNTIFS($AA$3:$AA$46,"X",$AB$3:$AB$46,"Consensus-building")+COUNTIFS($AA$3:$AA$46,"X",$AC$3:$AC$46,"Consensus-building")</f>
        <v>3</v>
      </c>
      <c r="AD50">
        <f>COUNTIFS($AD$3:$AD$46,"X",$AE$3:$AE$46,"Consensus-building")+COUNTIFS($AD$3:$AD$46,"X",$AF$3:$AF$46,"Consensus-building")</f>
        <v>3</v>
      </c>
      <c r="AG50">
        <f>COUNTIFS($AG$3:$AG$46,"X",$AH$3:$AH$46,"Consensus-building")+COUNTIFS($AG$3:$AG$46,"X",$AI$3:$AI$46,"Consensus-building")</f>
        <v>4</v>
      </c>
      <c r="AJ50">
        <f>COUNTIFS($AJ$3:$AJ$46,"X",$AK$3:$AK$46,"Consensus-building")+COUNTIFS($AJ$3:$AJ$46,"X",$AL$3:$AL$46,"Consensus-building")+COUNTIFS($AJ$3:$AJ$46,"X",$AM$3:$AM$46,"Consensus-building")</f>
        <v>4</v>
      </c>
      <c r="AN50">
        <f>COUNTIFS($AN$3:$AN$46,"X",$AO$3:$AO$46,"Consensus-building")+COUNTIFS($AN$3:$AN$46,"X",$AP$3:$AP$46,"Consensus-building")+COUNTIFS(AN3:AN46,"X",AQ3:AQ46,"Consensus-building")</f>
        <v>4</v>
      </c>
      <c r="AR50">
        <f>COUNTIFS($AR$3:$AR$46,"X",$AS$3:$AS$46,"Consensus-building")+COUNTIFS($AR$3:$AR$46,"X",$AT$3:$AT$46,"Consensus-building")+COUNTIFS($AR$3:$AR$46,"X",$AU$3:$AU$46,"Consensus-building")</f>
        <v>5</v>
      </c>
      <c r="AV50">
        <f>COUNTIFS($AV$3:$AV$46,"X",$AW$3:$AW$46,"Consensus-building")+COUNTIFS($AV$3:$AV$46,"X",$AX$3:$AX$46,"Consensus-building")+COUNTIFS($AV$3:$AV$46,"X",$AY$3:$AY$46,"Consensus-building")</f>
        <v>3</v>
      </c>
      <c r="AZ50">
        <f>COUNTIFS($AZ$3:$AZ$46,"X",$BA$3:$BA$46,"Consensus-building")+COUNTIFS($AZ$3:$AZ$46,"X",$BC$3:$BC$46,"Consensus-building")+COUNTIFS(AZ3:AZ46,"X",BB3:BB46,"Consensus-building")</f>
        <v>2</v>
      </c>
      <c r="BD50">
        <f>COUNTIFS($BD$3:$BD$46,"X",$BE$3:$BE$46,"Consensus-building")+COUNTIFS($BD$3:$BD$46,"X",$BF$3:$BF$46,"Consensus-building")</f>
        <v>1</v>
      </c>
      <c r="BG50">
        <f>COUNTIFS($BG$3:$BG$46,"X",$BH$3:$BH$46,"Consensus-building")+COUNTIFS($BG$3:$BG$46,"X",$BI$3:$BI$46,"Consensus-building")</f>
        <v>2</v>
      </c>
      <c r="BJ50">
        <f>COUNTIFS($BJ$3:$BJ$46,"X",$BK$3:$BK$46,"Consensus-building")+COUNTIFS($BJ$3:$BJ$46,"X",$BL$3:$BL$46,"Consensus-building")</f>
        <v>1</v>
      </c>
      <c r="BM50">
        <f>COUNTIFS($BM$3:$BM$46,"X",$BN$3:$BN$46,"Consensus-building")+COUNTIFS($BM$3:$BM$46,"X",$BO$3:$BO$46,"Consensus-building")+COUNTIFS($BM$3:$BM$46,"X",$BP$3:$BP$46,"Consensus-building")</f>
        <v>1</v>
      </c>
      <c r="BQ50">
        <f>COUNTIFS($BQ$3:$BQ$46,"X",$BR$3:$BR$46,"Consensus-building")+COUNTIFS($BQ$3:$BQ$46,"X",$BS$3:$BS$46,"Consensus-building")</f>
        <v>2</v>
      </c>
      <c r="BT50">
        <f>COUNTIFS($BT$3:$BT$46,"X",$BU$3:$BU$46,"Consensus-building")+COUNTIFS($BT$3:$BT$46,"X",$BV$3:$BV$46,"Consensus-building")+COUNTIFS(BT3:BT46,"X",BW3:BW46,"Consensus-building")</f>
        <v>2</v>
      </c>
      <c r="BX50">
        <f>COUNTIFS($BX$3:$BX$46,"X",$BY$3:$BY$46,"Consensus-building")+COUNTIFS($BX$3:$BX$46,"X",$BZ$3:$BZ$46,"Consensus-building")</f>
        <v>0</v>
      </c>
      <c r="CA50">
        <f>COUNTIFS($CA$3:$CA$46,"X",$CB$3:$CB$46,"Consensus-building")+COUNTIFS($CA$3:$CA$46,"X",$CC$3:$CC$46,"Consensus-building")</f>
        <v>1</v>
      </c>
    </row>
    <row r="52" spans="6:25" ht="15.75">
      <c r="F52" s="194"/>
      <c r="G52" s="195"/>
      <c r="H52" s="195"/>
      <c r="I52" s="195"/>
      <c r="J52" s="195"/>
      <c r="K52" s="195"/>
      <c r="L52" s="195"/>
      <c r="M52" s="195"/>
      <c r="N52" s="195"/>
      <c r="O52" s="195"/>
      <c r="P52" s="195"/>
      <c r="Q52" s="195"/>
      <c r="R52" s="195"/>
      <c r="S52" s="195"/>
      <c r="T52" s="195"/>
      <c r="U52" s="195"/>
      <c r="V52" s="195"/>
      <c r="W52" s="195"/>
      <c r="X52" s="195"/>
      <c r="Y52" s="195"/>
    </row>
    <row r="53" spans="6:25" ht="30" customHeight="1">
      <c r="F53" s="196"/>
      <c r="G53" s="196"/>
      <c r="H53" s="196"/>
      <c r="I53" s="196"/>
      <c r="J53" s="196"/>
      <c r="K53" s="196"/>
      <c r="L53" s="196"/>
      <c r="M53" s="196"/>
      <c r="N53" s="196"/>
      <c r="O53" s="196"/>
      <c r="P53" s="196"/>
      <c r="Q53" s="196"/>
      <c r="R53" s="196"/>
      <c r="S53" s="196"/>
      <c r="T53" s="196"/>
      <c r="U53" s="196"/>
      <c r="V53" s="196"/>
      <c r="W53" s="196"/>
      <c r="X53" s="196"/>
      <c r="Y53" s="196"/>
    </row>
    <row r="54" spans="7:27" ht="30" customHeight="1">
      <c r="G54" s="86" t="s">
        <v>171</v>
      </c>
      <c r="H54" s="86" t="s">
        <v>358</v>
      </c>
      <c r="I54" s="86" t="s">
        <v>112</v>
      </c>
      <c r="J54" s="86" t="s">
        <v>125</v>
      </c>
      <c r="K54" s="86" t="s">
        <v>172</v>
      </c>
      <c r="L54" s="86" t="s">
        <v>173</v>
      </c>
      <c r="M54" s="86" t="s">
        <v>115</v>
      </c>
      <c r="N54" s="86" t="s">
        <v>134</v>
      </c>
      <c r="O54" s="86" t="s">
        <v>143</v>
      </c>
      <c r="P54" s="86" t="s">
        <v>117</v>
      </c>
      <c r="Q54" s="86" t="s">
        <v>121</v>
      </c>
      <c r="R54" s="86" t="s">
        <v>128</v>
      </c>
      <c r="S54" s="86" t="s">
        <v>145</v>
      </c>
      <c r="T54" s="86" t="s">
        <v>136</v>
      </c>
      <c r="U54" s="86" t="s">
        <v>140</v>
      </c>
      <c r="V54" s="86" t="s">
        <v>345</v>
      </c>
      <c r="W54" s="86" t="s">
        <v>138</v>
      </c>
      <c r="X54" s="86" t="s">
        <v>174</v>
      </c>
      <c r="Y54" s="86" t="s">
        <v>152</v>
      </c>
      <c r="Z54" s="86" t="s">
        <v>154</v>
      </c>
      <c r="AA54" s="86" t="s">
        <v>83</v>
      </c>
    </row>
    <row r="55" spans="5:27" ht="15.75">
      <c r="E55" t="s">
        <v>360</v>
      </c>
      <c r="G55">
        <f>K48</f>
        <v>14</v>
      </c>
      <c r="H55">
        <f>E48</f>
        <v>11</v>
      </c>
      <c r="I55">
        <f>O48</f>
        <v>7</v>
      </c>
      <c r="J55">
        <f>S48</f>
        <v>5</v>
      </c>
      <c r="K55">
        <f>W48</f>
        <v>9</v>
      </c>
      <c r="L55">
        <f>AA48</f>
        <v>1</v>
      </c>
      <c r="M55">
        <f>AD48</f>
        <v>3</v>
      </c>
      <c r="N55">
        <f>AG48</f>
        <v>1</v>
      </c>
      <c r="O55">
        <f>AJ48</f>
        <v>2</v>
      </c>
      <c r="P55">
        <f>AN48</f>
        <v>4</v>
      </c>
      <c r="Q55">
        <f>AR48</f>
        <v>2</v>
      </c>
      <c r="R55">
        <f>AV48</f>
        <v>2</v>
      </c>
      <c r="S55">
        <f>AZ48</f>
        <v>2</v>
      </c>
      <c r="T55">
        <f>BD48</f>
        <v>1</v>
      </c>
      <c r="U55">
        <f>BG48</f>
        <v>0</v>
      </c>
      <c r="V55">
        <f>BJ48</f>
        <v>2</v>
      </c>
      <c r="W55">
        <f>BM48</f>
        <v>2</v>
      </c>
      <c r="X55">
        <f>BQ48</f>
        <v>1</v>
      </c>
      <c r="Y55">
        <f>BT48</f>
        <v>1</v>
      </c>
      <c r="Z55">
        <f>BX48</f>
        <v>1</v>
      </c>
      <c r="AA55">
        <f>CA48</f>
        <v>2</v>
      </c>
    </row>
    <row r="56" spans="5:27" ht="15.75">
      <c r="E56" t="s">
        <v>361</v>
      </c>
      <c r="G56">
        <f>K49</f>
        <v>15</v>
      </c>
      <c r="H56">
        <f>E49</f>
        <v>11</v>
      </c>
      <c r="I56">
        <f>O49</f>
        <v>8</v>
      </c>
      <c r="J56">
        <f>S49</f>
        <v>4</v>
      </c>
      <c r="K56">
        <f>W49</f>
        <v>12</v>
      </c>
      <c r="L56">
        <f>AA49</f>
        <v>3</v>
      </c>
      <c r="M56">
        <f>AD49</f>
        <v>5</v>
      </c>
      <c r="N56">
        <f>AG49</f>
        <v>2</v>
      </c>
      <c r="O56">
        <f>AJ49</f>
        <v>3</v>
      </c>
      <c r="P56">
        <f>AN49</f>
        <v>5</v>
      </c>
      <c r="Q56">
        <f>AR49</f>
        <v>2</v>
      </c>
      <c r="R56">
        <f>AV49</f>
        <v>1</v>
      </c>
      <c r="S56">
        <f>AZ49</f>
        <v>4</v>
      </c>
      <c r="T56">
        <f>BD49</f>
        <v>1</v>
      </c>
      <c r="U56">
        <f>BG49</f>
        <v>2</v>
      </c>
      <c r="V56">
        <f>BJ49</f>
        <v>3</v>
      </c>
      <c r="W56">
        <f>BM49</f>
        <v>1</v>
      </c>
      <c r="X56">
        <f>BQ49</f>
        <v>2</v>
      </c>
      <c r="Y56">
        <f>BT49</f>
        <v>3</v>
      </c>
      <c r="Z56">
        <f>BX49</f>
        <v>1</v>
      </c>
      <c r="AA56">
        <f>CA49</f>
        <v>2</v>
      </c>
    </row>
    <row r="57" spans="5:27" ht="31.2">
      <c r="E57" s="10" t="s">
        <v>362</v>
      </c>
      <c r="G57">
        <f>K50</f>
        <v>14</v>
      </c>
      <c r="H57">
        <f>E50</f>
        <v>14</v>
      </c>
      <c r="I57">
        <f>O50</f>
        <v>8</v>
      </c>
      <c r="J57">
        <f>S50</f>
        <v>8</v>
      </c>
      <c r="K57">
        <f>W50</f>
        <v>12</v>
      </c>
      <c r="L57">
        <f>AA50</f>
        <v>3</v>
      </c>
      <c r="M57">
        <f>AD50</f>
        <v>3</v>
      </c>
      <c r="N57">
        <f>AG50</f>
        <v>4</v>
      </c>
      <c r="O57">
        <f>AJ50</f>
        <v>4</v>
      </c>
      <c r="P57">
        <f>AN50</f>
        <v>4</v>
      </c>
      <c r="Q57">
        <f>AR50</f>
        <v>5</v>
      </c>
      <c r="R57">
        <f>AV50</f>
        <v>3</v>
      </c>
      <c r="S57">
        <f>AZ50</f>
        <v>2</v>
      </c>
      <c r="T57">
        <f>BD50</f>
        <v>1</v>
      </c>
      <c r="U57">
        <f>BG50</f>
        <v>2</v>
      </c>
      <c r="V57">
        <f>BJ50</f>
        <v>1</v>
      </c>
      <c r="W57">
        <f>BM50</f>
        <v>1</v>
      </c>
      <c r="X57">
        <f>BQ50</f>
        <v>2</v>
      </c>
      <c r="Y57">
        <f>BT50</f>
        <v>2</v>
      </c>
      <c r="Z57">
        <f>BX50</f>
        <v>0</v>
      </c>
      <c r="AA57">
        <f>CA50</f>
        <v>1</v>
      </c>
    </row>
    <row r="58" spans="7:27" ht="15.75">
      <c r="G58" s="44">
        <f>G55/44</f>
        <v>0.3181818181818182</v>
      </c>
      <c r="H58" s="44">
        <f>H55/44</f>
        <v>0.25</v>
      </c>
      <c r="I58" s="44">
        <f>I55/44</f>
        <v>0.1590909090909091</v>
      </c>
      <c r="J58" s="44">
        <f aca="true" t="shared" si="1" ref="J58:AA60">J55/44</f>
        <v>0.11363636363636363</v>
      </c>
      <c r="K58" s="44">
        <f t="shared" si="1"/>
        <v>0.20454545454545456</v>
      </c>
      <c r="L58" s="44">
        <f t="shared" si="1"/>
        <v>0.022727272727272728</v>
      </c>
      <c r="M58" s="44">
        <f t="shared" si="1"/>
        <v>0.06818181818181818</v>
      </c>
      <c r="N58" s="44">
        <f t="shared" si="1"/>
        <v>0.022727272727272728</v>
      </c>
      <c r="O58" s="44">
        <f t="shared" si="1"/>
        <v>0.045454545454545456</v>
      </c>
      <c r="P58" s="44">
        <f t="shared" si="1"/>
        <v>0.09090909090909091</v>
      </c>
      <c r="Q58" s="44">
        <f t="shared" si="1"/>
        <v>0.045454545454545456</v>
      </c>
      <c r="R58" s="44">
        <f t="shared" si="1"/>
        <v>0.045454545454545456</v>
      </c>
      <c r="S58" s="44">
        <f t="shared" si="1"/>
        <v>0.045454545454545456</v>
      </c>
      <c r="T58" s="44">
        <f t="shared" si="1"/>
        <v>0.022727272727272728</v>
      </c>
      <c r="U58" s="44">
        <f t="shared" si="1"/>
        <v>0</v>
      </c>
      <c r="V58" s="44">
        <f t="shared" si="1"/>
        <v>0.045454545454545456</v>
      </c>
      <c r="W58" s="44">
        <f t="shared" si="1"/>
        <v>0.045454545454545456</v>
      </c>
      <c r="X58" s="44">
        <f t="shared" si="1"/>
        <v>0.022727272727272728</v>
      </c>
      <c r="Y58" s="44">
        <f t="shared" si="1"/>
        <v>0.022727272727272728</v>
      </c>
      <c r="Z58" s="44">
        <f t="shared" si="1"/>
        <v>0.022727272727272728</v>
      </c>
      <c r="AA58" s="44">
        <f t="shared" si="1"/>
        <v>0.045454545454545456</v>
      </c>
    </row>
    <row r="59" spans="7:27" ht="15.75">
      <c r="G59" s="44">
        <f>G56/44</f>
        <v>0.3409090909090909</v>
      </c>
      <c r="H59" s="44">
        <f>H56/44</f>
        <v>0.25</v>
      </c>
      <c r="I59" s="44">
        <f aca="true" t="shared" si="2" ref="I59:V60">I56/44</f>
        <v>0.18181818181818182</v>
      </c>
      <c r="J59" s="44">
        <f t="shared" si="2"/>
        <v>0.09090909090909091</v>
      </c>
      <c r="K59" s="44">
        <f t="shared" si="2"/>
        <v>0.2727272727272727</v>
      </c>
      <c r="L59" s="44">
        <f t="shared" si="2"/>
        <v>0.06818181818181818</v>
      </c>
      <c r="M59" s="44">
        <f t="shared" si="2"/>
        <v>0.11363636363636363</v>
      </c>
      <c r="N59" s="44">
        <f t="shared" si="2"/>
        <v>0.045454545454545456</v>
      </c>
      <c r="O59" s="44">
        <f t="shared" si="2"/>
        <v>0.06818181818181818</v>
      </c>
      <c r="P59" s="44">
        <f t="shared" si="2"/>
        <v>0.11363636363636363</v>
      </c>
      <c r="Q59" s="44">
        <f t="shared" si="2"/>
        <v>0.045454545454545456</v>
      </c>
      <c r="R59" s="44">
        <f t="shared" si="2"/>
        <v>0.022727272727272728</v>
      </c>
      <c r="S59" s="44">
        <f t="shared" si="2"/>
        <v>0.09090909090909091</v>
      </c>
      <c r="T59" s="44">
        <f t="shared" si="2"/>
        <v>0.022727272727272728</v>
      </c>
      <c r="U59" s="44">
        <f t="shared" si="2"/>
        <v>0.045454545454545456</v>
      </c>
      <c r="V59" s="44">
        <f t="shared" si="2"/>
        <v>0.06818181818181818</v>
      </c>
      <c r="W59" s="44">
        <f t="shared" si="1"/>
        <v>0.022727272727272728</v>
      </c>
      <c r="X59" s="44">
        <f t="shared" si="1"/>
        <v>0.045454545454545456</v>
      </c>
      <c r="Y59" s="44">
        <f t="shared" si="1"/>
        <v>0.06818181818181818</v>
      </c>
      <c r="Z59" s="44">
        <f t="shared" si="1"/>
        <v>0.022727272727272728</v>
      </c>
      <c r="AA59" s="44">
        <f t="shared" si="1"/>
        <v>0.045454545454545456</v>
      </c>
    </row>
    <row r="60" spans="7:27" ht="15.75">
      <c r="G60" s="44">
        <f>G57/44</f>
        <v>0.3181818181818182</v>
      </c>
      <c r="H60" s="44">
        <f>H57/44</f>
        <v>0.3181818181818182</v>
      </c>
      <c r="I60" s="44">
        <f t="shared" si="2"/>
        <v>0.18181818181818182</v>
      </c>
      <c r="J60" s="44">
        <f t="shared" si="2"/>
        <v>0.18181818181818182</v>
      </c>
      <c r="K60" s="44">
        <f t="shared" si="2"/>
        <v>0.2727272727272727</v>
      </c>
      <c r="L60" s="44">
        <f t="shared" si="2"/>
        <v>0.06818181818181818</v>
      </c>
      <c r="M60" s="44">
        <f t="shared" si="2"/>
        <v>0.06818181818181818</v>
      </c>
      <c r="N60" s="44">
        <f t="shared" si="2"/>
        <v>0.09090909090909091</v>
      </c>
      <c r="O60" s="44">
        <f t="shared" si="2"/>
        <v>0.09090909090909091</v>
      </c>
      <c r="P60" s="44">
        <f t="shared" si="2"/>
        <v>0.09090909090909091</v>
      </c>
      <c r="Q60" s="44">
        <f t="shared" si="2"/>
        <v>0.11363636363636363</v>
      </c>
      <c r="R60" s="44">
        <f t="shared" si="2"/>
        <v>0.06818181818181818</v>
      </c>
      <c r="S60" s="44">
        <f t="shared" si="2"/>
        <v>0.045454545454545456</v>
      </c>
      <c r="T60" s="44">
        <f t="shared" si="2"/>
        <v>0.022727272727272728</v>
      </c>
      <c r="U60" s="44">
        <f t="shared" si="2"/>
        <v>0.045454545454545456</v>
      </c>
      <c r="V60" s="44">
        <f t="shared" si="2"/>
        <v>0.022727272727272728</v>
      </c>
      <c r="W60" s="44">
        <f t="shared" si="1"/>
        <v>0.022727272727272728</v>
      </c>
      <c r="X60" s="44">
        <f t="shared" si="1"/>
        <v>0.045454545454545456</v>
      </c>
      <c r="Y60" s="44">
        <f t="shared" si="1"/>
        <v>0.045454545454545456</v>
      </c>
      <c r="Z60" s="44">
        <f t="shared" si="1"/>
        <v>0</v>
      </c>
      <c r="AA60" s="44">
        <f t="shared" si="1"/>
        <v>0.022727272727272728</v>
      </c>
    </row>
  </sheetData>
  <sheetProtection sheet="1" objects="1" scenarios="1"/>
  <mergeCells count="2">
    <mergeCell ref="C1:CC1"/>
    <mergeCell ref="F52:Y53"/>
  </mergeCells>
  <dataValidations count="1">
    <dataValidation type="list" allowBlank="1" showInputMessage="1" showErrorMessage="1" sqref="CB3:CC46 BY3:BZ46 BU3:BW46 BR3:BS46 BN3:BP46 BK3:BL46 BH3:BI46 BE3:BF46 BA3:BC46 AW3:AY46 AS3:AU46 AO3:AQ46 AK3:AM46 AH3:AI46 AE3:AF46 AB3:AC46 X3:Z46 T3:V46 P3:R46 L3:N46 J3:J46 F3:H46">
      <formula1>$CI$3:$CI$5</formula1>
    </dataValidation>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dimension ref="A1:BI62"/>
  <sheetViews>
    <sheetView zoomScale="50" zoomScaleNormal="50" workbookViewId="0" topLeftCell="A2">
      <pane xSplit="1" ySplit="3" topLeftCell="AA5" activePane="bottomRight" state="frozen"/>
      <selection pane="topLeft" activeCell="A2" sqref="A2"/>
      <selection pane="topRight" activeCell="B2" sqref="B2"/>
      <selection pane="bottomLeft" activeCell="A3" sqref="A3"/>
      <selection pane="bottomRight" activeCell="AV2" sqref="AV2"/>
    </sheetView>
  </sheetViews>
  <sheetFormatPr defaultColWidth="9.00390625" defaultRowHeight="15.75"/>
  <cols>
    <col min="1" max="1" width="17.625" style="0" customWidth="1"/>
    <col min="2" max="2" width="12.375" style="0" customWidth="1"/>
    <col min="4" max="4" width="13.75390625" style="0" customWidth="1"/>
    <col min="7" max="7" width="12.625" style="0" customWidth="1"/>
    <col min="11" max="11" width="9.00390625" style="0" customWidth="1"/>
    <col min="16" max="16" width="9.00390625" style="0" customWidth="1"/>
    <col min="24" max="24" width="14.75390625" style="0" customWidth="1"/>
    <col min="25" max="25" width="15.50390625" style="0" customWidth="1"/>
    <col min="26" max="26" width="17.00390625" style="0" customWidth="1"/>
    <col min="27" max="27" width="15.00390625" style="0" customWidth="1"/>
    <col min="28" max="28" width="16.00390625" style="0" customWidth="1"/>
    <col min="29" max="29" width="20.50390625" style="0" customWidth="1"/>
    <col min="30" max="30" width="16.25390625" style="0" customWidth="1"/>
    <col min="31" max="31" width="18.25390625" style="0" customWidth="1"/>
    <col min="32" max="32" width="14.75390625" style="0" customWidth="1"/>
    <col min="33" max="33" width="15.50390625" style="0" customWidth="1"/>
    <col min="36" max="36" width="13.50390625" style="0" customWidth="1"/>
    <col min="37" max="37" width="18.875" style="0" customWidth="1"/>
    <col min="38" max="38" width="16.00390625" style="0" customWidth="1"/>
    <col min="39" max="39" width="18.25390625" style="0" customWidth="1"/>
    <col min="40" max="40" width="15.625" style="0" customWidth="1"/>
    <col min="41" max="41" width="17.625" style="0" customWidth="1"/>
    <col min="42" max="42" width="15.375" style="0" customWidth="1"/>
    <col min="43" max="43" width="14.00390625" style="0" customWidth="1"/>
    <col min="44" max="44" width="16.625" style="0" customWidth="1"/>
    <col min="45" max="45" width="15.375" style="0" customWidth="1"/>
    <col min="46" max="46" width="15.125" style="0" customWidth="1"/>
    <col min="47" max="63" width="9.00390625" style="0" customWidth="1"/>
  </cols>
  <sheetData>
    <row r="1" spans="1:61" ht="15.75">
      <c r="A1" s="9"/>
      <c r="B1" s="30" t="s">
        <v>188</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V1" s="30" t="s">
        <v>188</v>
      </c>
      <c r="AW1" s="9"/>
      <c r="AX1" s="9"/>
      <c r="AY1" s="9"/>
      <c r="AZ1" s="9"/>
      <c r="BA1" s="9"/>
      <c r="BB1" s="9"/>
      <c r="BC1" s="9"/>
      <c r="BD1" s="9"/>
      <c r="BE1" s="9"/>
      <c r="BF1" s="9"/>
      <c r="BG1" s="9"/>
      <c r="BH1" s="9"/>
      <c r="BI1" s="9"/>
    </row>
    <row r="2" spans="1:61" ht="15.75" customHeight="1">
      <c r="A2" s="197"/>
      <c r="B2" s="111" t="s">
        <v>461</v>
      </c>
      <c r="C2" s="111"/>
      <c r="D2" s="111"/>
      <c r="E2" s="111"/>
      <c r="F2" s="111"/>
      <c r="G2" s="111"/>
      <c r="H2" s="111"/>
      <c r="I2" s="111"/>
      <c r="J2" s="111"/>
      <c r="K2" s="111"/>
      <c r="L2" s="111"/>
      <c r="M2" s="111"/>
      <c r="N2" s="111"/>
      <c r="O2" s="111"/>
      <c r="P2" s="111"/>
      <c r="Q2" s="9"/>
      <c r="R2" s="9"/>
      <c r="S2" s="9"/>
      <c r="T2" s="9"/>
      <c r="U2" s="9"/>
      <c r="V2" s="9"/>
      <c r="W2" s="9"/>
      <c r="X2" s="9"/>
      <c r="Y2" s="9"/>
      <c r="Z2" s="9"/>
      <c r="AA2" s="9"/>
      <c r="AB2" s="9"/>
      <c r="AC2" s="9"/>
      <c r="AD2" s="9"/>
      <c r="AE2" s="9"/>
      <c r="AF2" s="9"/>
      <c r="AG2" s="9"/>
      <c r="AH2" s="9"/>
      <c r="AI2" s="9"/>
      <c r="AJ2" s="9"/>
      <c r="AK2" s="9"/>
      <c r="AL2" s="9"/>
      <c r="AM2" s="9"/>
      <c r="AN2" s="9"/>
      <c r="AO2" s="9"/>
      <c r="AP2" s="9"/>
      <c r="AQ2" s="9"/>
      <c r="AR2" s="9"/>
      <c r="AV2" s="9"/>
      <c r="AW2" s="9"/>
      <c r="AX2" s="9"/>
      <c r="AY2" s="9"/>
      <c r="AZ2" s="9"/>
      <c r="BA2" s="9"/>
      <c r="BB2" s="9"/>
      <c r="BC2" s="9"/>
      <c r="BD2" s="9"/>
      <c r="BE2" s="9"/>
      <c r="BF2" s="9"/>
      <c r="BG2" s="9"/>
      <c r="BH2" s="9"/>
      <c r="BI2" s="9"/>
    </row>
    <row r="3" spans="1:61" ht="82.5" customHeight="1">
      <c r="A3" s="198"/>
      <c r="B3" s="111"/>
      <c r="C3" s="111"/>
      <c r="D3" s="111"/>
      <c r="E3" s="111"/>
      <c r="F3" s="111"/>
      <c r="G3" s="111"/>
      <c r="H3" s="111"/>
      <c r="I3" s="111"/>
      <c r="J3" s="111"/>
      <c r="K3" s="111"/>
      <c r="L3" s="111"/>
      <c r="M3" s="111"/>
      <c r="N3" s="111"/>
      <c r="O3" s="111"/>
      <c r="P3" s="111"/>
      <c r="Q3" s="9"/>
      <c r="R3" s="9"/>
      <c r="S3" s="9"/>
      <c r="T3" s="9"/>
      <c r="U3" s="9"/>
      <c r="V3" s="9"/>
      <c r="W3" s="9"/>
      <c r="X3" s="9"/>
      <c r="Y3" s="9"/>
      <c r="Z3" s="9"/>
      <c r="AA3" s="9"/>
      <c r="AB3" s="9"/>
      <c r="AC3" s="9"/>
      <c r="AD3" s="9"/>
      <c r="AE3" s="9"/>
      <c r="AF3" s="9"/>
      <c r="AG3" s="9"/>
      <c r="AH3" s="9"/>
      <c r="AI3" s="9"/>
      <c r="AJ3" s="9"/>
      <c r="AK3" s="9"/>
      <c r="AL3" s="9"/>
      <c r="AM3" s="9"/>
      <c r="AN3" s="9"/>
      <c r="AO3" s="9"/>
      <c r="AP3" s="9"/>
      <c r="AQ3" s="9"/>
      <c r="AR3" s="9"/>
      <c r="AV3" s="9"/>
      <c r="AW3" s="9"/>
      <c r="AX3" s="9"/>
      <c r="AY3" s="9"/>
      <c r="AZ3" s="9"/>
      <c r="BA3" s="9"/>
      <c r="BB3" s="9"/>
      <c r="BC3" s="9"/>
      <c r="BD3" s="9"/>
      <c r="BE3" s="9"/>
      <c r="BF3" s="9"/>
      <c r="BG3" s="9"/>
      <c r="BH3" s="9"/>
      <c r="BI3" s="9"/>
    </row>
    <row r="4" spans="1:45" ht="304.2">
      <c r="A4" s="34" t="s">
        <v>189</v>
      </c>
      <c r="B4" s="73" t="s">
        <v>12</v>
      </c>
      <c r="C4" s="75" t="s">
        <v>20</v>
      </c>
      <c r="D4" s="73" t="s">
        <v>23</v>
      </c>
      <c r="E4" s="73" t="s">
        <v>26</v>
      </c>
      <c r="F4" s="75" t="s">
        <v>32</v>
      </c>
      <c r="G4" s="75" t="s">
        <v>35</v>
      </c>
      <c r="H4" s="75" t="s">
        <v>37</v>
      </c>
      <c r="I4" s="73" t="s">
        <v>39</v>
      </c>
      <c r="J4" s="75" t="s">
        <v>42</v>
      </c>
      <c r="K4" s="75" t="s">
        <v>44</v>
      </c>
      <c r="L4" s="73" t="s">
        <v>46</v>
      </c>
      <c r="M4" s="75" t="s">
        <v>49</v>
      </c>
      <c r="N4" s="73" t="s">
        <v>51</v>
      </c>
      <c r="O4" s="75" t="s">
        <v>54</v>
      </c>
      <c r="P4" s="73" t="s">
        <v>56</v>
      </c>
      <c r="Q4" s="75" t="s">
        <v>59</v>
      </c>
      <c r="R4" s="73" t="s">
        <v>60</v>
      </c>
      <c r="S4" s="73" t="s">
        <v>62</v>
      </c>
      <c r="T4" s="73" t="s">
        <v>63</v>
      </c>
      <c r="U4" s="73" t="s">
        <v>64</v>
      </c>
      <c r="V4" s="73" t="s">
        <v>66</v>
      </c>
      <c r="W4" s="73" t="s">
        <v>190</v>
      </c>
      <c r="X4" s="75" t="s">
        <v>68</v>
      </c>
      <c r="Y4" s="75" t="s">
        <v>69</v>
      </c>
      <c r="Z4" s="73" t="s">
        <v>191</v>
      </c>
      <c r="AA4" s="73" t="s">
        <v>71</v>
      </c>
      <c r="AB4" s="73" t="s">
        <v>72</v>
      </c>
      <c r="AC4" s="73" t="s">
        <v>73</v>
      </c>
      <c r="AD4" s="73" t="s">
        <v>76</v>
      </c>
      <c r="AE4" s="73" t="s">
        <v>77</v>
      </c>
      <c r="AF4" s="73" t="s">
        <v>78</v>
      </c>
      <c r="AG4" s="73" t="s">
        <v>81</v>
      </c>
      <c r="AH4" s="73" t="s">
        <v>84</v>
      </c>
      <c r="AI4" s="73" t="s">
        <v>85</v>
      </c>
      <c r="AJ4" s="71" t="s">
        <v>87</v>
      </c>
      <c r="AK4" s="71" t="s">
        <v>90</v>
      </c>
      <c r="AL4" s="71" t="s">
        <v>192</v>
      </c>
      <c r="AM4" s="71" t="s">
        <v>93</v>
      </c>
      <c r="AN4" s="73" t="s">
        <v>95</v>
      </c>
      <c r="AO4" s="73" t="s">
        <v>98</v>
      </c>
      <c r="AP4" s="73" t="s">
        <v>99</v>
      </c>
      <c r="AQ4" s="75" t="s">
        <v>101</v>
      </c>
      <c r="AR4" s="73" t="s">
        <v>103</v>
      </c>
      <c r="AS4" s="74" t="s">
        <v>348</v>
      </c>
    </row>
    <row r="5" spans="1:61" ht="69.6">
      <c r="A5" s="98" t="s">
        <v>462</v>
      </c>
      <c r="B5" s="70" t="s">
        <v>21</v>
      </c>
      <c r="C5" s="9" t="s">
        <v>21</v>
      </c>
      <c r="D5" s="9" t="s">
        <v>21</v>
      </c>
      <c r="E5" s="9" t="s">
        <v>21</v>
      </c>
      <c r="F5" s="9" t="s">
        <v>21</v>
      </c>
      <c r="G5" s="9" t="s">
        <v>21</v>
      </c>
      <c r="H5" s="9" t="s">
        <v>21</v>
      </c>
      <c r="I5" s="9" t="s">
        <v>21</v>
      </c>
      <c r="J5" s="9" t="s">
        <v>21</v>
      </c>
      <c r="K5" s="9" t="s">
        <v>21</v>
      </c>
      <c r="L5" s="9" t="s">
        <v>21</v>
      </c>
      <c r="M5" s="9" t="s">
        <v>21</v>
      </c>
      <c r="N5" s="9" t="s">
        <v>21</v>
      </c>
      <c r="O5" s="9" t="s">
        <v>21</v>
      </c>
      <c r="P5" s="9" t="s">
        <v>21</v>
      </c>
      <c r="Q5" s="9" t="s">
        <v>21</v>
      </c>
      <c r="R5" s="9" t="s">
        <v>18</v>
      </c>
      <c r="S5" s="9" t="s">
        <v>21</v>
      </c>
      <c r="T5" t="s">
        <v>21</v>
      </c>
      <c r="U5" s="9" t="s">
        <v>21</v>
      </c>
      <c r="V5" s="9" t="s">
        <v>18</v>
      </c>
      <c r="W5" s="9" t="s">
        <v>18</v>
      </c>
      <c r="X5" s="9" t="s">
        <v>21</v>
      </c>
      <c r="Y5" s="9" t="s">
        <v>21</v>
      </c>
      <c r="Z5" s="9" t="s">
        <v>18</v>
      </c>
      <c r="AA5" s="9" t="s">
        <v>18</v>
      </c>
      <c r="AB5" s="9" t="s">
        <v>21</v>
      </c>
      <c r="AC5" s="9" t="s">
        <v>21</v>
      </c>
      <c r="AD5" s="9" t="s">
        <v>18</v>
      </c>
      <c r="AE5" s="9" t="s">
        <v>21</v>
      </c>
      <c r="AF5" s="9" t="s">
        <v>21</v>
      </c>
      <c r="AG5" s="9" t="s">
        <v>21</v>
      </c>
      <c r="AH5" s="9" t="s">
        <v>21</v>
      </c>
      <c r="AI5" s="9" t="s">
        <v>21</v>
      </c>
      <c r="AJ5" s="9" t="s">
        <v>18</v>
      </c>
      <c r="AK5" s="9" t="s">
        <v>18</v>
      </c>
      <c r="AL5" s="9" t="s">
        <v>18</v>
      </c>
      <c r="AM5" s="9" t="s">
        <v>18</v>
      </c>
      <c r="AN5" s="9" t="s">
        <v>21</v>
      </c>
      <c r="AO5" s="9" t="s">
        <v>18</v>
      </c>
      <c r="AP5" s="9" t="s">
        <v>21</v>
      </c>
      <c r="AQ5" s="9" t="s">
        <v>21</v>
      </c>
      <c r="AR5" s="9" t="s">
        <v>21</v>
      </c>
      <c r="AS5" s="9" t="s">
        <v>21</v>
      </c>
      <c r="AU5" s="70"/>
      <c r="AV5" s="9"/>
      <c r="AW5" s="9"/>
      <c r="AX5" s="9"/>
      <c r="AY5" s="9"/>
      <c r="AZ5" s="9"/>
      <c r="BA5" s="9"/>
      <c r="BB5" s="9"/>
      <c r="BC5" s="9"/>
      <c r="BD5" s="9"/>
      <c r="BE5" s="9"/>
      <c r="BF5" s="9"/>
      <c r="BG5" s="9"/>
      <c r="BH5" s="9"/>
      <c r="BI5" s="9"/>
    </row>
    <row r="6" spans="1:61" ht="55.8">
      <c r="A6" s="98" t="s">
        <v>463</v>
      </c>
      <c r="B6" s="9" t="s">
        <v>18</v>
      </c>
      <c r="C6" s="9" t="s">
        <v>21</v>
      </c>
      <c r="D6" s="9" t="s">
        <v>18</v>
      </c>
      <c r="E6" s="9" t="s">
        <v>21</v>
      </c>
      <c r="F6" s="9" t="s">
        <v>18</v>
      </c>
      <c r="G6" s="9" t="s">
        <v>21</v>
      </c>
      <c r="H6" s="31" t="s">
        <v>21</v>
      </c>
      <c r="I6" s="9" t="s">
        <v>18</v>
      </c>
      <c r="J6" s="9" t="s">
        <v>21</v>
      </c>
      <c r="K6" s="9" t="s">
        <v>21</v>
      </c>
      <c r="L6" s="9" t="s">
        <v>18</v>
      </c>
      <c r="M6" s="9" t="s">
        <v>21</v>
      </c>
      <c r="N6" s="9" t="s">
        <v>18</v>
      </c>
      <c r="O6" s="9" t="s">
        <v>18</v>
      </c>
      <c r="P6" s="9" t="s">
        <v>18</v>
      </c>
      <c r="Q6" s="9" t="s">
        <v>18</v>
      </c>
      <c r="R6" s="9" t="s">
        <v>18</v>
      </c>
      <c r="S6" s="9" t="s">
        <v>21</v>
      </c>
      <c r="T6" t="s">
        <v>18</v>
      </c>
      <c r="U6" s="9" t="s">
        <v>21</v>
      </c>
      <c r="V6" s="9" t="s">
        <v>18</v>
      </c>
      <c r="W6" s="9" t="s">
        <v>18</v>
      </c>
      <c r="X6" s="9" t="s">
        <v>21</v>
      </c>
      <c r="Y6" s="9" t="s">
        <v>18</v>
      </c>
      <c r="Z6" s="9" t="s">
        <v>18</v>
      </c>
      <c r="AA6" s="9" t="s">
        <v>18</v>
      </c>
      <c r="AB6" s="9" t="s">
        <v>18</v>
      </c>
      <c r="AC6" s="9" t="s">
        <v>18</v>
      </c>
      <c r="AD6" s="9" t="s">
        <v>18</v>
      </c>
      <c r="AE6" s="9" t="s">
        <v>18</v>
      </c>
      <c r="AF6" s="9" t="s">
        <v>18</v>
      </c>
      <c r="AG6" s="9" t="s">
        <v>18</v>
      </c>
      <c r="AH6" s="9" t="s">
        <v>21</v>
      </c>
      <c r="AI6" s="9" t="s">
        <v>21</v>
      </c>
      <c r="AJ6" s="9" t="s">
        <v>18</v>
      </c>
      <c r="AK6" s="9" t="s">
        <v>18</v>
      </c>
      <c r="AL6" s="9" t="s">
        <v>18</v>
      </c>
      <c r="AM6" s="9" t="s">
        <v>18</v>
      </c>
      <c r="AN6" s="9" t="s">
        <v>18</v>
      </c>
      <c r="AO6" s="9" t="s">
        <v>18</v>
      </c>
      <c r="AP6" s="9" t="s">
        <v>21</v>
      </c>
      <c r="AQ6" s="9" t="s">
        <v>18</v>
      </c>
      <c r="AR6" s="9" t="s">
        <v>21</v>
      </c>
      <c r="AS6" s="9" t="s">
        <v>18</v>
      </c>
      <c r="AU6" s="9"/>
      <c r="AV6" s="9"/>
      <c r="AW6" s="9"/>
      <c r="AX6" s="9"/>
      <c r="AY6" s="9"/>
      <c r="AZ6" s="9"/>
      <c r="BA6" s="9"/>
      <c r="BB6" s="9"/>
      <c r="BC6" s="9"/>
      <c r="BD6" s="9"/>
      <c r="BE6" s="9"/>
      <c r="BF6" s="9"/>
      <c r="BG6" s="9"/>
      <c r="BH6" s="9"/>
      <c r="BI6" s="9"/>
    </row>
    <row r="7" spans="1:61" ht="69.6">
      <c r="A7" s="98" t="s">
        <v>464</v>
      </c>
      <c r="B7" s="70" t="s">
        <v>18</v>
      </c>
      <c r="C7" s="70" t="s">
        <v>21</v>
      </c>
      <c r="D7" s="70" t="s">
        <v>21</v>
      </c>
      <c r="E7" s="70" t="s">
        <v>18</v>
      </c>
      <c r="F7" s="70" t="s">
        <v>21</v>
      </c>
      <c r="G7" s="70" t="s">
        <v>21</v>
      </c>
      <c r="H7" s="70" t="s">
        <v>21</v>
      </c>
      <c r="I7" s="70" t="s">
        <v>21</v>
      </c>
      <c r="J7" s="70" t="s">
        <v>21</v>
      </c>
      <c r="K7" s="70" t="s">
        <v>21</v>
      </c>
      <c r="L7" s="70" t="s">
        <v>18</v>
      </c>
      <c r="M7" s="70" t="s">
        <v>21</v>
      </c>
      <c r="N7" s="70" t="s">
        <v>18</v>
      </c>
      <c r="O7" s="70" t="s">
        <v>21</v>
      </c>
      <c r="P7" s="70" t="s">
        <v>21</v>
      </c>
      <c r="Q7" s="70" t="s">
        <v>21</v>
      </c>
      <c r="R7" s="70" t="s">
        <v>18</v>
      </c>
      <c r="S7" s="70" t="s">
        <v>18</v>
      </c>
      <c r="T7" s="63" t="s">
        <v>21</v>
      </c>
      <c r="U7" s="70" t="s">
        <v>18</v>
      </c>
      <c r="V7" s="70" t="s">
        <v>18</v>
      </c>
      <c r="W7" s="70" t="s">
        <v>18</v>
      </c>
      <c r="X7" s="70" t="s">
        <v>21</v>
      </c>
      <c r="Y7" s="70" t="s">
        <v>18</v>
      </c>
      <c r="Z7" s="70" t="s">
        <v>18</v>
      </c>
      <c r="AA7" s="70" t="s">
        <v>18</v>
      </c>
      <c r="AB7" s="70" t="s">
        <v>21</v>
      </c>
      <c r="AC7" s="70" t="s">
        <v>21</v>
      </c>
      <c r="AD7" s="70" t="s">
        <v>18</v>
      </c>
      <c r="AE7" s="70" t="s">
        <v>21</v>
      </c>
      <c r="AF7" s="70" t="s">
        <v>21</v>
      </c>
      <c r="AG7" s="70" t="s">
        <v>21</v>
      </c>
      <c r="AH7" s="70" t="s">
        <v>18</v>
      </c>
      <c r="AI7" s="70" t="s">
        <v>18</v>
      </c>
      <c r="AJ7" s="70" t="s">
        <v>18</v>
      </c>
      <c r="AK7" s="70" t="s">
        <v>18</v>
      </c>
      <c r="AL7" s="70" t="s">
        <v>18</v>
      </c>
      <c r="AM7" s="70" t="s">
        <v>18</v>
      </c>
      <c r="AN7" s="70" t="s">
        <v>21</v>
      </c>
      <c r="AO7" s="70" t="s">
        <v>18</v>
      </c>
      <c r="AP7" s="70" t="s">
        <v>18</v>
      </c>
      <c r="AQ7" s="70" t="s">
        <v>21</v>
      </c>
      <c r="AR7" s="70" t="s">
        <v>18</v>
      </c>
      <c r="AS7" s="9" t="s">
        <v>18</v>
      </c>
      <c r="AU7" s="70"/>
      <c r="AV7" s="70"/>
      <c r="AW7" s="70"/>
      <c r="AX7" s="70"/>
      <c r="AY7" s="70"/>
      <c r="AZ7" s="70"/>
      <c r="BA7" s="70"/>
      <c r="BB7" s="70"/>
      <c r="BC7" s="70"/>
      <c r="BD7" s="70"/>
      <c r="BE7" s="70"/>
      <c r="BF7" s="70"/>
      <c r="BG7" s="70"/>
      <c r="BH7" s="70"/>
      <c r="BI7" s="70"/>
    </row>
    <row r="8" spans="1:61" ht="69.6">
      <c r="A8" s="98" t="s">
        <v>465</v>
      </c>
      <c r="B8" s="9" t="s">
        <v>21</v>
      </c>
      <c r="C8" s="9" t="s">
        <v>21</v>
      </c>
      <c r="D8" s="9" t="s">
        <v>21</v>
      </c>
      <c r="E8" s="9" t="s">
        <v>18</v>
      </c>
      <c r="F8" s="9" t="s">
        <v>21</v>
      </c>
      <c r="G8" s="9" t="s">
        <v>21</v>
      </c>
      <c r="H8" s="9" t="s">
        <v>21</v>
      </c>
      <c r="I8" s="9" t="s">
        <v>21</v>
      </c>
      <c r="J8" s="9" t="s">
        <v>21</v>
      </c>
      <c r="K8" s="9" t="s">
        <v>21</v>
      </c>
      <c r="L8" s="9" t="s">
        <v>21</v>
      </c>
      <c r="M8" s="9" t="s">
        <v>21</v>
      </c>
      <c r="N8" s="46" t="s">
        <v>18</v>
      </c>
      <c r="O8" s="9" t="s">
        <v>21</v>
      </c>
      <c r="P8" s="9" t="s">
        <v>21</v>
      </c>
      <c r="Q8" s="9" t="s">
        <v>21</v>
      </c>
      <c r="R8" s="9" t="s">
        <v>21</v>
      </c>
      <c r="S8" s="9" t="s">
        <v>21</v>
      </c>
      <c r="T8" t="s">
        <v>21</v>
      </c>
      <c r="U8" s="9" t="s">
        <v>18</v>
      </c>
      <c r="V8" s="9" t="s">
        <v>18</v>
      </c>
      <c r="W8" s="9" t="s">
        <v>18</v>
      </c>
      <c r="X8" s="9" t="s">
        <v>21</v>
      </c>
      <c r="Y8" s="9" t="s">
        <v>21</v>
      </c>
      <c r="Z8" s="9" t="s">
        <v>18</v>
      </c>
      <c r="AA8" s="9" t="s">
        <v>18</v>
      </c>
      <c r="AB8" s="9" t="s">
        <v>21</v>
      </c>
      <c r="AC8" s="9" t="s">
        <v>21</v>
      </c>
      <c r="AD8" s="9" t="s">
        <v>18</v>
      </c>
      <c r="AE8" s="9" t="s">
        <v>21</v>
      </c>
      <c r="AF8" s="9" t="s">
        <v>21</v>
      </c>
      <c r="AG8" s="9" t="s">
        <v>21</v>
      </c>
      <c r="AH8" s="9" t="s">
        <v>18</v>
      </c>
      <c r="AI8" s="9" t="s">
        <v>18</v>
      </c>
      <c r="AJ8" s="9" t="s">
        <v>18</v>
      </c>
      <c r="AK8" s="9" t="s">
        <v>18</v>
      </c>
      <c r="AL8" s="9" t="s">
        <v>18</v>
      </c>
      <c r="AM8" s="9" t="s">
        <v>18</v>
      </c>
      <c r="AN8" s="9" t="s">
        <v>21</v>
      </c>
      <c r="AO8" s="9" t="s">
        <v>21</v>
      </c>
      <c r="AP8" s="9" t="s">
        <v>18</v>
      </c>
      <c r="AQ8" s="9" t="s">
        <v>21</v>
      </c>
      <c r="AR8" s="9" t="s">
        <v>18</v>
      </c>
      <c r="AS8" s="9" t="s">
        <v>21</v>
      </c>
      <c r="AU8" s="9"/>
      <c r="AV8" s="9"/>
      <c r="AW8" s="9"/>
      <c r="AX8" s="9"/>
      <c r="AY8" s="9"/>
      <c r="AZ8" s="9"/>
      <c r="BA8" s="9"/>
      <c r="BB8" s="9"/>
      <c r="BC8" s="9"/>
      <c r="BD8" s="9"/>
      <c r="BE8" s="9"/>
      <c r="BF8" s="9"/>
      <c r="BG8" s="9"/>
      <c r="BH8" s="9"/>
      <c r="BI8" s="9"/>
    </row>
    <row r="9" spans="1:61" ht="69.6">
      <c r="A9" s="98" t="s">
        <v>466</v>
      </c>
      <c r="B9" s="9" t="s">
        <v>21</v>
      </c>
      <c r="C9" s="9" t="s">
        <v>21</v>
      </c>
      <c r="D9" s="9" t="s">
        <v>21</v>
      </c>
      <c r="E9" s="9" t="s">
        <v>18</v>
      </c>
      <c r="F9" s="9" t="s">
        <v>21</v>
      </c>
      <c r="G9" s="9" t="s">
        <v>21</v>
      </c>
      <c r="H9" s="9" t="s">
        <v>21</v>
      </c>
      <c r="I9" s="9" t="s">
        <v>21</v>
      </c>
      <c r="J9" s="9" t="s">
        <v>21</v>
      </c>
      <c r="K9" s="9" t="s">
        <v>21</v>
      </c>
      <c r="L9" s="9" t="s">
        <v>18</v>
      </c>
      <c r="M9" s="9" t="s">
        <v>21</v>
      </c>
      <c r="N9" s="9" t="s">
        <v>21</v>
      </c>
      <c r="O9" s="9" t="s">
        <v>21</v>
      </c>
      <c r="P9" s="9" t="s">
        <v>21</v>
      </c>
      <c r="Q9" s="9" t="s">
        <v>18</v>
      </c>
      <c r="R9" s="9" t="s">
        <v>21</v>
      </c>
      <c r="S9" s="9" t="s">
        <v>18</v>
      </c>
      <c r="T9" t="s">
        <v>21</v>
      </c>
      <c r="U9" s="9" t="s">
        <v>18</v>
      </c>
      <c r="V9" s="9" t="s">
        <v>18</v>
      </c>
      <c r="W9" s="9" t="s">
        <v>18</v>
      </c>
      <c r="X9" s="9" t="s">
        <v>21</v>
      </c>
      <c r="Y9" s="9" t="s">
        <v>21</v>
      </c>
      <c r="Z9" s="9" t="s">
        <v>18</v>
      </c>
      <c r="AA9" s="9" t="s">
        <v>18</v>
      </c>
      <c r="AB9" s="9" t="s">
        <v>18</v>
      </c>
      <c r="AC9" s="9" t="s">
        <v>21</v>
      </c>
      <c r="AD9" s="9" t="s">
        <v>18</v>
      </c>
      <c r="AE9" s="9" t="s">
        <v>21</v>
      </c>
      <c r="AF9" s="9" t="s">
        <v>21</v>
      </c>
      <c r="AG9" s="9" t="s">
        <v>21</v>
      </c>
      <c r="AH9" s="9" t="s">
        <v>18</v>
      </c>
      <c r="AI9" s="9" t="s">
        <v>18</v>
      </c>
      <c r="AJ9" s="9" t="s">
        <v>18</v>
      </c>
      <c r="AK9" s="9" t="s">
        <v>18</v>
      </c>
      <c r="AL9" s="9" t="s">
        <v>18</v>
      </c>
      <c r="AM9" s="9" t="s">
        <v>18</v>
      </c>
      <c r="AN9" s="9" t="s">
        <v>21</v>
      </c>
      <c r="AO9" s="9" t="s">
        <v>21</v>
      </c>
      <c r="AP9" s="9" t="s">
        <v>18</v>
      </c>
      <c r="AQ9" s="9" t="s">
        <v>21</v>
      </c>
      <c r="AR9" s="9" t="s">
        <v>18</v>
      </c>
      <c r="AS9" s="9" t="s">
        <v>18</v>
      </c>
      <c r="AU9" s="9"/>
      <c r="AV9" s="9"/>
      <c r="AW9" s="9"/>
      <c r="AX9" s="9"/>
      <c r="AY9" s="9"/>
      <c r="AZ9" s="9"/>
      <c r="BA9" s="9"/>
      <c r="BB9" s="9"/>
      <c r="BC9" s="9"/>
      <c r="BD9" s="9"/>
      <c r="BE9" s="9"/>
      <c r="BF9" s="9"/>
      <c r="BG9" s="9"/>
      <c r="BH9" s="9"/>
      <c r="BI9" s="9"/>
    </row>
    <row r="10" spans="1:61" ht="69.6">
      <c r="A10" s="98" t="s">
        <v>467</v>
      </c>
      <c r="B10" s="9" t="s">
        <v>18</v>
      </c>
      <c r="C10" s="9" t="s">
        <v>18</v>
      </c>
      <c r="D10" s="9" t="s">
        <v>18</v>
      </c>
      <c r="E10" s="9" t="s">
        <v>18</v>
      </c>
      <c r="F10" s="9" t="s">
        <v>18</v>
      </c>
      <c r="G10" s="9" t="s">
        <v>18</v>
      </c>
      <c r="H10" s="9" t="s">
        <v>21</v>
      </c>
      <c r="I10" s="9" t="s">
        <v>18</v>
      </c>
      <c r="J10" s="9" t="s">
        <v>21</v>
      </c>
      <c r="K10" s="9" t="s">
        <v>21</v>
      </c>
      <c r="L10" s="9" t="s">
        <v>21</v>
      </c>
      <c r="M10" s="9" t="s">
        <v>18</v>
      </c>
      <c r="N10" s="9" t="s">
        <v>18</v>
      </c>
      <c r="O10" s="9" t="s">
        <v>21</v>
      </c>
      <c r="P10" s="9" t="s">
        <v>18</v>
      </c>
      <c r="Q10" s="9" t="s">
        <v>21</v>
      </c>
      <c r="R10" s="9" t="s">
        <v>18</v>
      </c>
      <c r="S10" s="9" t="s">
        <v>18</v>
      </c>
      <c r="T10" t="s">
        <v>18</v>
      </c>
      <c r="U10" s="9" t="s">
        <v>18</v>
      </c>
      <c r="V10" s="9" t="s">
        <v>18</v>
      </c>
      <c r="W10" s="9" t="s">
        <v>18</v>
      </c>
      <c r="X10" s="9" t="s">
        <v>21</v>
      </c>
      <c r="Y10" s="9" t="s">
        <v>21</v>
      </c>
      <c r="Z10" s="9" t="s">
        <v>18</v>
      </c>
      <c r="AA10" s="9" t="s">
        <v>21</v>
      </c>
      <c r="AB10" s="9" t="s">
        <v>21</v>
      </c>
      <c r="AC10" s="9" t="s">
        <v>21</v>
      </c>
      <c r="AD10" s="9" t="s">
        <v>18</v>
      </c>
      <c r="AE10" s="9" t="s">
        <v>18</v>
      </c>
      <c r="AF10" s="9" t="s">
        <v>18</v>
      </c>
      <c r="AG10" s="9" t="s">
        <v>18</v>
      </c>
      <c r="AH10" s="9" t="s">
        <v>18</v>
      </c>
      <c r="AI10" s="9" t="s">
        <v>18</v>
      </c>
      <c r="AJ10" s="9" t="s">
        <v>18</v>
      </c>
      <c r="AK10" s="9" t="s">
        <v>18</v>
      </c>
      <c r="AL10" s="9" t="s">
        <v>18</v>
      </c>
      <c r="AM10" s="9" t="s">
        <v>18</v>
      </c>
      <c r="AN10" s="9" t="s">
        <v>18</v>
      </c>
      <c r="AO10" s="9" t="s">
        <v>18</v>
      </c>
      <c r="AP10" s="9" t="s">
        <v>18</v>
      </c>
      <c r="AQ10" s="9" t="s">
        <v>18</v>
      </c>
      <c r="AR10" s="9" t="s">
        <v>18</v>
      </c>
      <c r="AS10" s="9" t="s">
        <v>18</v>
      </c>
      <c r="AU10" s="9"/>
      <c r="AV10" s="9"/>
      <c r="AW10" s="9"/>
      <c r="AX10" s="9"/>
      <c r="AY10" s="9"/>
      <c r="AZ10" s="9"/>
      <c r="BA10" s="9"/>
      <c r="BB10" s="9"/>
      <c r="BC10" s="9"/>
      <c r="BD10" s="9"/>
      <c r="BE10" s="9"/>
      <c r="BF10" s="9"/>
      <c r="BG10" s="9"/>
      <c r="BH10" s="9"/>
      <c r="BI10" s="9"/>
    </row>
    <row r="11" spans="1:61" ht="83.4">
      <c r="A11" s="98" t="s">
        <v>468</v>
      </c>
      <c r="B11" s="9" t="s">
        <v>18</v>
      </c>
      <c r="C11" s="9" t="s">
        <v>18</v>
      </c>
      <c r="D11" s="9" t="s">
        <v>18</v>
      </c>
      <c r="E11" s="9" t="s">
        <v>18</v>
      </c>
      <c r="F11" s="9" t="s">
        <v>18</v>
      </c>
      <c r="G11" s="9" t="s">
        <v>18</v>
      </c>
      <c r="H11" s="9" t="s">
        <v>21</v>
      </c>
      <c r="I11" s="9" t="s">
        <v>18</v>
      </c>
      <c r="J11" s="9" t="s">
        <v>21</v>
      </c>
      <c r="K11" s="9" t="s">
        <v>21</v>
      </c>
      <c r="L11" s="9" t="s">
        <v>18</v>
      </c>
      <c r="M11" s="9" t="s">
        <v>18</v>
      </c>
      <c r="N11" s="9" t="s">
        <v>18</v>
      </c>
      <c r="O11" s="9" t="s">
        <v>21</v>
      </c>
      <c r="P11" s="9" t="s">
        <v>18</v>
      </c>
      <c r="Q11" s="9" t="s">
        <v>21</v>
      </c>
      <c r="R11" s="9" t="s">
        <v>18</v>
      </c>
      <c r="S11" s="9" t="s">
        <v>18</v>
      </c>
      <c r="T11" t="s">
        <v>18</v>
      </c>
      <c r="U11" s="9" t="s">
        <v>18</v>
      </c>
      <c r="V11" s="9" t="s">
        <v>18</v>
      </c>
      <c r="W11" s="9" t="s">
        <v>18</v>
      </c>
      <c r="X11" s="9" t="s">
        <v>21</v>
      </c>
      <c r="Y11" s="9" t="s">
        <v>21</v>
      </c>
      <c r="Z11" s="9" t="s">
        <v>18</v>
      </c>
      <c r="AA11" s="9" t="s">
        <v>18</v>
      </c>
      <c r="AB11" s="9" t="s">
        <v>21</v>
      </c>
      <c r="AC11" s="9" t="s">
        <v>21</v>
      </c>
      <c r="AD11" s="9" t="s">
        <v>18</v>
      </c>
      <c r="AE11" s="9" t="s">
        <v>18</v>
      </c>
      <c r="AF11" s="9" t="s">
        <v>18</v>
      </c>
      <c r="AG11" s="9" t="s">
        <v>18</v>
      </c>
      <c r="AH11" s="9" t="s">
        <v>18</v>
      </c>
      <c r="AI11" s="9" t="s">
        <v>18</v>
      </c>
      <c r="AJ11" s="9" t="s">
        <v>18</v>
      </c>
      <c r="AK11" s="9" t="s">
        <v>18</v>
      </c>
      <c r="AL11" s="9" t="s">
        <v>18</v>
      </c>
      <c r="AM11" s="9" t="s">
        <v>18</v>
      </c>
      <c r="AN11" s="9" t="s">
        <v>18</v>
      </c>
      <c r="AO11" s="9" t="s">
        <v>18</v>
      </c>
      <c r="AP11" s="9" t="s">
        <v>18</v>
      </c>
      <c r="AQ11" s="9" t="s">
        <v>18</v>
      </c>
      <c r="AR11" s="9" t="s">
        <v>18</v>
      </c>
      <c r="AS11" s="9" t="s">
        <v>18</v>
      </c>
      <c r="AU11" s="9"/>
      <c r="AV11" s="9"/>
      <c r="AW11" s="9"/>
      <c r="AX11" s="9"/>
      <c r="AY11" s="9"/>
      <c r="AZ11" s="9"/>
      <c r="BA11" s="9"/>
      <c r="BB11" s="9"/>
      <c r="BC11" s="9"/>
      <c r="BD11" s="9"/>
      <c r="BE11" s="9"/>
      <c r="BF11" s="9"/>
      <c r="BG11" s="9"/>
      <c r="BH11" s="9"/>
      <c r="BI11" s="9"/>
    </row>
    <row r="12" spans="1:61" ht="69.6">
      <c r="A12" s="98" t="s">
        <v>469</v>
      </c>
      <c r="B12" s="9" t="s">
        <v>18</v>
      </c>
      <c r="C12" s="9" t="s">
        <v>18</v>
      </c>
      <c r="D12" s="9" t="s">
        <v>18</v>
      </c>
      <c r="E12" s="9" t="s">
        <v>18</v>
      </c>
      <c r="F12" s="9" t="s">
        <v>18</v>
      </c>
      <c r="G12" s="9" t="s">
        <v>21</v>
      </c>
      <c r="H12" s="9" t="s">
        <v>18</v>
      </c>
      <c r="I12" s="9" t="s">
        <v>18</v>
      </c>
      <c r="J12" s="9" t="s">
        <v>18</v>
      </c>
      <c r="K12" s="9" t="s">
        <v>21</v>
      </c>
      <c r="L12" s="9" t="s">
        <v>18</v>
      </c>
      <c r="M12" s="9" t="s">
        <v>18</v>
      </c>
      <c r="N12" s="9" t="s">
        <v>18</v>
      </c>
      <c r="O12" s="9" t="s">
        <v>18</v>
      </c>
      <c r="P12" s="9" t="s">
        <v>18</v>
      </c>
      <c r="Q12" s="9" t="s">
        <v>18</v>
      </c>
      <c r="R12" s="9" t="s">
        <v>18</v>
      </c>
      <c r="S12" s="9" t="s">
        <v>18</v>
      </c>
      <c r="T12" t="s">
        <v>18</v>
      </c>
      <c r="U12" s="9" t="s">
        <v>18</v>
      </c>
      <c r="V12" s="9" t="s">
        <v>18</v>
      </c>
      <c r="W12" s="9" t="s">
        <v>18</v>
      </c>
      <c r="X12" s="9" t="s">
        <v>18</v>
      </c>
      <c r="Y12" s="9" t="s">
        <v>21</v>
      </c>
      <c r="Z12" s="9" t="s">
        <v>18</v>
      </c>
      <c r="AA12" s="9" t="s">
        <v>18</v>
      </c>
      <c r="AB12" s="9" t="s">
        <v>18</v>
      </c>
      <c r="AC12" s="9" t="s">
        <v>18</v>
      </c>
      <c r="AD12" s="9" t="s">
        <v>18</v>
      </c>
      <c r="AE12" s="9" t="s">
        <v>18</v>
      </c>
      <c r="AF12" s="9" t="s">
        <v>18</v>
      </c>
      <c r="AG12" s="9" t="s">
        <v>18</v>
      </c>
      <c r="AH12" s="9" t="s">
        <v>18</v>
      </c>
      <c r="AI12" s="9" t="s">
        <v>18</v>
      </c>
      <c r="AJ12" s="9" t="s">
        <v>18</v>
      </c>
      <c r="AK12" s="9" t="s">
        <v>18</v>
      </c>
      <c r="AL12" s="9" t="s">
        <v>18</v>
      </c>
      <c r="AM12" s="9" t="s">
        <v>18</v>
      </c>
      <c r="AN12" s="9" t="s">
        <v>18</v>
      </c>
      <c r="AO12" s="9" t="s">
        <v>18</v>
      </c>
      <c r="AP12" s="9" t="s">
        <v>18</v>
      </c>
      <c r="AQ12" s="9" t="s">
        <v>21</v>
      </c>
      <c r="AR12" s="9" t="s">
        <v>18</v>
      </c>
      <c r="AS12" s="9" t="s">
        <v>18</v>
      </c>
      <c r="AU12" s="9"/>
      <c r="AV12" s="9"/>
      <c r="AW12" s="9"/>
      <c r="AX12" s="9"/>
      <c r="AY12" s="9"/>
      <c r="AZ12" s="9"/>
      <c r="BA12" s="9"/>
      <c r="BB12" s="9"/>
      <c r="BC12" s="9"/>
      <c r="BD12" s="9"/>
      <c r="BE12" s="9"/>
      <c r="BF12" s="9"/>
      <c r="BG12" s="9"/>
      <c r="BH12" s="9"/>
      <c r="BI12" s="9"/>
    </row>
    <row r="13" spans="1:61" ht="28.2">
      <c r="A13" s="99" t="s">
        <v>343</v>
      </c>
      <c r="B13" s="32" t="s">
        <v>18</v>
      </c>
      <c r="C13" s="32" t="s">
        <v>21</v>
      </c>
      <c r="D13" s="32" t="s">
        <v>21</v>
      </c>
      <c r="E13" s="32" t="s">
        <v>21</v>
      </c>
      <c r="F13" s="32" t="s">
        <v>21</v>
      </c>
      <c r="G13" s="32" t="s">
        <v>21</v>
      </c>
      <c r="H13" s="32" t="s">
        <v>18</v>
      </c>
      <c r="I13" s="32" t="s">
        <v>21</v>
      </c>
      <c r="J13" s="32" t="s">
        <v>18</v>
      </c>
      <c r="K13" s="32" t="s">
        <v>18</v>
      </c>
      <c r="L13" s="32" t="s">
        <v>21</v>
      </c>
      <c r="M13" s="32" t="s">
        <v>21</v>
      </c>
      <c r="N13" s="32" t="s">
        <v>21</v>
      </c>
      <c r="O13" s="32" t="s">
        <v>18</v>
      </c>
      <c r="P13" s="32" t="s">
        <v>18</v>
      </c>
      <c r="Q13" s="32" t="s">
        <v>21</v>
      </c>
      <c r="R13" s="32" t="s">
        <v>18</v>
      </c>
      <c r="S13" s="32" t="s">
        <v>21</v>
      </c>
      <c r="T13" s="32" t="s">
        <v>21</v>
      </c>
      <c r="U13" s="32" t="s">
        <v>18</v>
      </c>
      <c r="V13" s="32" t="s">
        <v>18</v>
      </c>
      <c r="W13" s="32" t="s">
        <v>18</v>
      </c>
      <c r="X13" s="32" t="s">
        <v>21</v>
      </c>
      <c r="Y13" s="32" t="s">
        <v>18</v>
      </c>
      <c r="Z13" s="32" t="s">
        <v>18</v>
      </c>
      <c r="AA13" s="32" t="s">
        <v>18</v>
      </c>
      <c r="AB13" s="32" t="s">
        <v>18</v>
      </c>
      <c r="AC13" s="32" t="s">
        <v>18</v>
      </c>
      <c r="AD13" s="32" t="s">
        <v>21</v>
      </c>
      <c r="AE13" s="32" t="s">
        <v>18</v>
      </c>
      <c r="AF13" s="32" t="s">
        <v>18</v>
      </c>
      <c r="AG13" s="32" t="s">
        <v>21</v>
      </c>
      <c r="AH13" s="32" t="s">
        <v>18</v>
      </c>
      <c r="AI13" s="32" t="s">
        <v>18</v>
      </c>
      <c r="AJ13" s="32" t="s">
        <v>18</v>
      </c>
      <c r="AK13" s="32" t="s">
        <v>18</v>
      </c>
      <c r="AL13" s="32" t="s">
        <v>18</v>
      </c>
      <c r="AM13" s="32" t="s">
        <v>18</v>
      </c>
      <c r="AN13" s="32" t="s">
        <v>18</v>
      </c>
      <c r="AO13" s="32" t="s">
        <v>18</v>
      </c>
      <c r="AP13" s="32" t="s">
        <v>18</v>
      </c>
      <c r="AQ13" s="32" t="s">
        <v>21</v>
      </c>
      <c r="AR13" s="32" t="s">
        <v>18</v>
      </c>
      <c r="AS13" s="32" t="s">
        <v>18</v>
      </c>
      <c r="AT13" s="50">
        <f>COUNTIF(B13:AS13,"NO")</f>
        <v>28</v>
      </c>
      <c r="AU13" s="32"/>
      <c r="AV13" s="32"/>
      <c r="AW13" s="32"/>
      <c r="AX13" s="32"/>
      <c r="AY13" s="32"/>
      <c r="AZ13" s="32"/>
      <c r="BA13" s="32"/>
      <c r="BB13" s="32"/>
      <c r="BC13" s="32"/>
      <c r="BD13" s="32"/>
      <c r="BE13" s="32"/>
      <c r="BF13" s="32"/>
      <c r="BG13" s="32"/>
      <c r="BH13" s="32"/>
      <c r="BI13" s="32"/>
    </row>
    <row r="14" spans="1:61" ht="28.2">
      <c r="A14" s="100" t="s">
        <v>378</v>
      </c>
      <c r="B14" s="33">
        <f aca="true" t="shared" si="0" ref="B14:AS14">COUNTIF(B5:B13,"YES")</f>
        <v>3</v>
      </c>
      <c r="C14" s="33">
        <f t="shared" si="0"/>
        <v>6</v>
      </c>
      <c r="D14" s="33">
        <f t="shared" si="0"/>
        <v>5</v>
      </c>
      <c r="E14" s="33">
        <f t="shared" si="0"/>
        <v>3</v>
      </c>
      <c r="F14" s="33">
        <f t="shared" si="0"/>
        <v>5</v>
      </c>
      <c r="G14" s="33">
        <f t="shared" si="0"/>
        <v>7</v>
      </c>
      <c r="H14" s="33">
        <f t="shared" si="0"/>
        <v>7</v>
      </c>
      <c r="I14" s="33">
        <f t="shared" si="0"/>
        <v>5</v>
      </c>
      <c r="J14" s="33">
        <f t="shared" si="0"/>
        <v>7</v>
      </c>
      <c r="K14" s="33">
        <f t="shared" si="0"/>
        <v>8</v>
      </c>
      <c r="L14" s="33">
        <f t="shared" si="0"/>
        <v>4</v>
      </c>
      <c r="M14" s="33">
        <f t="shared" si="0"/>
        <v>6</v>
      </c>
      <c r="N14" s="33">
        <f t="shared" si="0"/>
        <v>3</v>
      </c>
      <c r="O14" s="33">
        <f t="shared" si="0"/>
        <v>6</v>
      </c>
      <c r="P14" s="33">
        <f t="shared" si="0"/>
        <v>4</v>
      </c>
      <c r="Q14" s="33">
        <f t="shared" si="0"/>
        <v>6</v>
      </c>
      <c r="R14" s="33">
        <f t="shared" si="0"/>
        <v>2</v>
      </c>
      <c r="S14" s="33">
        <f t="shared" si="0"/>
        <v>4</v>
      </c>
      <c r="T14" s="33">
        <f t="shared" si="0"/>
        <v>5</v>
      </c>
      <c r="U14" s="33">
        <f t="shared" si="0"/>
        <v>2</v>
      </c>
      <c r="V14" s="33">
        <f t="shared" si="0"/>
        <v>0</v>
      </c>
      <c r="W14" s="33">
        <f t="shared" si="0"/>
        <v>0</v>
      </c>
      <c r="X14" s="33">
        <f t="shared" si="0"/>
        <v>8</v>
      </c>
      <c r="Y14" s="33">
        <f t="shared" si="0"/>
        <v>6</v>
      </c>
      <c r="Z14" s="33">
        <f t="shared" si="0"/>
        <v>0</v>
      </c>
      <c r="AA14" s="33">
        <f t="shared" si="0"/>
        <v>1</v>
      </c>
      <c r="AB14" s="33">
        <f t="shared" si="0"/>
        <v>5</v>
      </c>
      <c r="AC14" s="33">
        <f t="shared" si="0"/>
        <v>6</v>
      </c>
      <c r="AD14" s="33">
        <f t="shared" si="0"/>
        <v>1</v>
      </c>
      <c r="AE14" s="33">
        <f t="shared" si="0"/>
        <v>4</v>
      </c>
      <c r="AF14" s="33">
        <f t="shared" si="0"/>
        <v>4</v>
      </c>
      <c r="AG14" s="33">
        <f t="shared" si="0"/>
        <v>5</v>
      </c>
      <c r="AH14" s="33">
        <f t="shared" si="0"/>
        <v>2</v>
      </c>
      <c r="AI14" s="33">
        <f t="shared" si="0"/>
        <v>2</v>
      </c>
      <c r="AJ14" s="33">
        <f t="shared" si="0"/>
        <v>0</v>
      </c>
      <c r="AK14" s="33">
        <f t="shared" si="0"/>
        <v>0</v>
      </c>
      <c r="AL14" s="33">
        <f t="shared" si="0"/>
        <v>0</v>
      </c>
      <c r="AM14" s="33">
        <f t="shared" si="0"/>
        <v>0</v>
      </c>
      <c r="AN14" s="33">
        <f t="shared" si="0"/>
        <v>4</v>
      </c>
      <c r="AO14" s="33">
        <f t="shared" si="0"/>
        <v>2</v>
      </c>
      <c r="AP14" s="33">
        <f t="shared" si="0"/>
        <v>2</v>
      </c>
      <c r="AQ14" s="33">
        <f t="shared" si="0"/>
        <v>6</v>
      </c>
      <c r="AR14" s="33">
        <f t="shared" si="0"/>
        <v>2</v>
      </c>
      <c r="AS14" s="33">
        <f t="shared" si="0"/>
        <v>2</v>
      </c>
      <c r="AU14" s="62"/>
      <c r="AV14" s="62"/>
      <c r="AW14" s="9"/>
      <c r="AX14" s="9"/>
      <c r="AY14" s="9"/>
      <c r="AZ14" s="9"/>
      <c r="BA14" s="9"/>
      <c r="BB14" s="9"/>
      <c r="BC14" s="9"/>
      <c r="BD14" s="9"/>
      <c r="BE14" s="9"/>
      <c r="BF14" s="9"/>
      <c r="BG14" s="9"/>
      <c r="BH14" s="9"/>
      <c r="BI14" s="9"/>
    </row>
    <row r="15" spans="1:46" ht="15.75" hidden="1">
      <c r="A15" s="53" t="s">
        <v>273</v>
      </c>
      <c r="B15">
        <v>28</v>
      </c>
      <c r="H15">
        <v>27</v>
      </c>
      <c r="J15">
        <v>26</v>
      </c>
      <c r="K15">
        <v>25</v>
      </c>
      <c r="O15">
        <v>24</v>
      </c>
      <c r="P15">
        <v>23</v>
      </c>
      <c r="R15">
        <v>22</v>
      </c>
      <c r="U15">
        <v>19</v>
      </c>
      <c r="V15">
        <v>20</v>
      </c>
      <c r="W15">
        <v>21</v>
      </c>
      <c r="Y15">
        <v>18</v>
      </c>
      <c r="Z15">
        <v>17</v>
      </c>
      <c r="AA15">
        <v>16</v>
      </c>
      <c r="AB15">
        <v>15</v>
      </c>
      <c r="AC15">
        <v>14</v>
      </c>
      <c r="AE15">
        <f>AF15+1</f>
        <v>13</v>
      </c>
      <c r="AF15">
        <v>12</v>
      </c>
      <c r="AH15">
        <f aca="true" t="shared" si="1" ref="AH15:AO15">AI15+1</f>
        <v>11</v>
      </c>
      <c r="AI15">
        <f t="shared" si="1"/>
        <v>10</v>
      </c>
      <c r="AJ15" s="63">
        <f t="shared" si="1"/>
        <v>9</v>
      </c>
      <c r="AK15">
        <f t="shared" si="1"/>
        <v>8</v>
      </c>
      <c r="AL15">
        <f t="shared" si="1"/>
        <v>7</v>
      </c>
      <c r="AM15">
        <f t="shared" si="1"/>
        <v>6</v>
      </c>
      <c r="AN15">
        <f t="shared" si="1"/>
        <v>5</v>
      </c>
      <c r="AO15">
        <f t="shared" si="1"/>
        <v>4</v>
      </c>
      <c r="AP15">
        <f>AR15+1</f>
        <v>3</v>
      </c>
      <c r="AR15">
        <v>2</v>
      </c>
      <c r="AT15">
        <v>1</v>
      </c>
    </row>
    <row r="16" spans="1:45" ht="15.75" hidden="1">
      <c r="A16" s="53" t="s">
        <v>271</v>
      </c>
      <c r="B16" t="str">
        <f aca="true" t="shared" si="2" ref="B16:AR16">IF(B14=B15,"","YES")</f>
        <v>YES</v>
      </c>
      <c r="C16" t="str">
        <f t="shared" si="2"/>
        <v>YES</v>
      </c>
      <c r="D16" t="str">
        <f t="shared" si="2"/>
        <v>YES</v>
      </c>
      <c r="E16" t="str">
        <f t="shared" si="2"/>
        <v>YES</v>
      </c>
      <c r="F16" t="str">
        <f t="shared" si="2"/>
        <v>YES</v>
      </c>
      <c r="G16" t="str">
        <f t="shared" si="2"/>
        <v>YES</v>
      </c>
      <c r="H16" t="str">
        <f t="shared" si="2"/>
        <v>YES</v>
      </c>
      <c r="I16" t="str">
        <f t="shared" si="2"/>
        <v>YES</v>
      </c>
      <c r="J16" t="str">
        <f t="shared" si="2"/>
        <v>YES</v>
      </c>
      <c r="K16" t="str">
        <f t="shared" si="2"/>
        <v>YES</v>
      </c>
      <c r="L16" t="str">
        <f t="shared" si="2"/>
        <v>YES</v>
      </c>
      <c r="M16" t="str">
        <f t="shared" si="2"/>
        <v>YES</v>
      </c>
      <c r="N16" t="str">
        <f t="shared" si="2"/>
        <v>YES</v>
      </c>
      <c r="O16" t="str">
        <f t="shared" si="2"/>
        <v>YES</v>
      </c>
      <c r="P16" t="str">
        <f t="shared" si="2"/>
        <v>YES</v>
      </c>
      <c r="Q16" t="str">
        <f t="shared" si="2"/>
        <v>YES</v>
      </c>
      <c r="R16" t="str">
        <f t="shared" si="2"/>
        <v>YES</v>
      </c>
      <c r="S16" t="str">
        <f t="shared" si="2"/>
        <v>YES</v>
      </c>
      <c r="T16" t="str">
        <f t="shared" si="2"/>
        <v>YES</v>
      </c>
      <c r="U16" t="str">
        <f t="shared" si="2"/>
        <v>YES</v>
      </c>
      <c r="V16" t="str">
        <f t="shared" si="2"/>
        <v>YES</v>
      </c>
      <c r="W16" t="str">
        <f t="shared" si="2"/>
        <v>YES</v>
      </c>
      <c r="X16" t="str">
        <f t="shared" si="2"/>
        <v>YES</v>
      </c>
      <c r="Y16" t="str">
        <f t="shared" si="2"/>
        <v>YES</v>
      </c>
      <c r="Z16" t="str">
        <f t="shared" si="2"/>
        <v>YES</v>
      </c>
      <c r="AA16" t="str">
        <f t="shared" si="2"/>
        <v>YES</v>
      </c>
      <c r="AB16" t="str">
        <f t="shared" si="2"/>
        <v>YES</v>
      </c>
      <c r="AC16" t="str">
        <f t="shared" si="2"/>
        <v>YES</v>
      </c>
      <c r="AD16" t="str">
        <f t="shared" si="2"/>
        <v>YES</v>
      </c>
      <c r="AE16" t="str">
        <f t="shared" si="2"/>
        <v>YES</v>
      </c>
      <c r="AF16" t="str">
        <f t="shared" si="2"/>
        <v>YES</v>
      </c>
      <c r="AG16" t="str">
        <f t="shared" si="2"/>
        <v>YES</v>
      </c>
      <c r="AH16" t="str">
        <f t="shared" si="2"/>
        <v>YES</v>
      </c>
      <c r="AI16" t="str">
        <f t="shared" si="2"/>
        <v>YES</v>
      </c>
      <c r="AJ16" t="str">
        <f t="shared" si="2"/>
        <v>YES</v>
      </c>
      <c r="AK16" t="str">
        <f t="shared" si="2"/>
        <v>YES</v>
      </c>
      <c r="AL16" t="str">
        <f t="shared" si="2"/>
        <v>YES</v>
      </c>
      <c r="AM16" t="str">
        <f t="shared" si="2"/>
        <v>YES</v>
      </c>
      <c r="AN16" t="str">
        <f t="shared" si="2"/>
        <v>YES</v>
      </c>
      <c r="AO16" t="str">
        <f t="shared" si="2"/>
        <v>YES</v>
      </c>
      <c r="AP16" t="str">
        <f t="shared" si="2"/>
        <v>YES</v>
      </c>
      <c r="AQ16" t="str">
        <f t="shared" si="2"/>
        <v>YES</v>
      </c>
      <c r="AR16" t="str">
        <f t="shared" si="2"/>
        <v/>
      </c>
      <c r="AS16" t="e">
        <f>IF(#REF!=AS15,"","YES")</f>
        <v>#REF!</v>
      </c>
    </row>
    <row r="17" spans="1:36" ht="15.75">
      <c r="A17" s="77"/>
      <c r="AJ17" s="63"/>
    </row>
    <row r="18" spans="1:14" ht="132.6">
      <c r="A18" s="63"/>
      <c r="E18" s="97" t="s">
        <v>453</v>
      </c>
      <c r="F18" s="97" t="s">
        <v>454</v>
      </c>
      <c r="G18" s="97" t="s">
        <v>455</v>
      </c>
      <c r="H18" s="97" t="s">
        <v>456</v>
      </c>
      <c r="I18" s="97" t="s">
        <v>457</v>
      </c>
      <c r="J18" s="97" t="s">
        <v>458</v>
      </c>
      <c r="K18" s="97" t="s">
        <v>459</v>
      </c>
      <c r="L18" s="97" t="s">
        <v>460</v>
      </c>
      <c r="M18" s="97" t="s">
        <v>343</v>
      </c>
      <c r="N18" s="97" t="s">
        <v>378</v>
      </c>
    </row>
    <row r="19" spans="1:14" ht="93">
      <c r="A19" s="63"/>
      <c r="D19" s="71" t="s">
        <v>44</v>
      </c>
      <c r="E19" s="9" t="s">
        <v>21</v>
      </c>
      <c r="F19" s="9" t="s">
        <v>21</v>
      </c>
      <c r="G19" s="9" t="s">
        <v>21</v>
      </c>
      <c r="H19" s="9" t="s">
        <v>21</v>
      </c>
      <c r="I19" s="9" t="s">
        <v>21</v>
      </c>
      <c r="J19" s="9" t="s">
        <v>21</v>
      </c>
      <c r="K19" s="9" t="s">
        <v>21</v>
      </c>
      <c r="L19" s="9" t="s">
        <v>21</v>
      </c>
      <c r="M19" s="95" t="s">
        <v>18</v>
      </c>
      <c r="N19">
        <f>COUNTIF(E19:M19,"YES")</f>
        <v>8</v>
      </c>
    </row>
    <row r="20" spans="4:14" ht="106.2">
      <c r="D20" s="6" t="s">
        <v>68</v>
      </c>
      <c r="E20" s="9" t="s">
        <v>21</v>
      </c>
      <c r="F20" s="9" t="s">
        <v>21</v>
      </c>
      <c r="G20" s="9" t="s">
        <v>21</v>
      </c>
      <c r="H20" s="9" t="s">
        <v>21</v>
      </c>
      <c r="I20" s="9" t="s">
        <v>21</v>
      </c>
      <c r="J20" s="9" t="s">
        <v>21</v>
      </c>
      <c r="K20" s="9" t="s">
        <v>21</v>
      </c>
      <c r="L20" s="9" t="s">
        <v>18</v>
      </c>
      <c r="M20" s="95" t="s">
        <v>21</v>
      </c>
      <c r="N20">
        <f>COUNTIF(E20:M20,"YES")</f>
        <v>8</v>
      </c>
    </row>
    <row r="21" spans="1:15" ht="198.6">
      <c r="A21" s="63"/>
      <c r="B21" s="63"/>
      <c r="C21" s="63"/>
      <c r="D21" s="71" t="s">
        <v>35</v>
      </c>
      <c r="E21" s="70" t="s">
        <v>21</v>
      </c>
      <c r="F21" s="70" t="s">
        <v>21</v>
      </c>
      <c r="G21" s="70" t="s">
        <v>21</v>
      </c>
      <c r="H21" s="70" t="s">
        <v>21</v>
      </c>
      <c r="I21" s="70" t="s">
        <v>21</v>
      </c>
      <c r="J21" s="70" t="s">
        <v>18</v>
      </c>
      <c r="K21" s="70" t="s">
        <v>18</v>
      </c>
      <c r="L21" s="70" t="s">
        <v>21</v>
      </c>
      <c r="M21" s="96" t="s">
        <v>21</v>
      </c>
      <c r="N21">
        <f aca="true" t="shared" si="3" ref="N21:N62">COUNTIF(E21:M21,"YES")</f>
        <v>7</v>
      </c>
      <c r="O21" s="63"/>
    </row>
    <row r="22" spans="4:14" ht="119.4">
      <c r="D22" s="6" t="s">
        <v>37</v>
      </c>
      <c r="E22" s="9" t="s">
        <v>21</v>
      </c>
      <c r="F22" s="31" t="s">
        <v>21</v>
      </c>
      <c r="G22" s="9" t="s">
        <v>21</v>
      </c>
      <c r="H22" s="9" t="s">
        <v>21</v>
      </c>
      <c r="I22" s="9" t="s">
        <v>21</v>
      </c>
      <c r="J22" s="9" t="s">
        <v>21</v>
      </c>
      <c r="K22" s="9" t="s">
        <v>21</v>
      </c>
      <c r="L22" s="9" t="s">
        <v>18</v>
      </c>
      <c r="M22" s="95" t="s">
        <v>18</v>
      </c>
      <c r="N22">
        <f t="shared" si="3"/>
        <v>7</v>
      </c>
    </row>
    <row r="23" spans="4:14" ht="132.6">
      <c r="D23" s="6" t="s">
        <v>42</v>
      </c>
      <c r="E23" s="9" t="s">
        <v>21</v>
      </c>
      <c r="F23" s="9" t="s">
        <v>21</v>
      </c>
      <c r="G23" s="9" t="s">
        <v>21</v>
      </c>
      <c r="H23" s="9" t="s">
        <v>21</v>
      </c>
      <c r="I23" s="9" t="s">
        <v>21</v>
      </c>
      <c r="J23" s="9" t="s">
        <v>21</v>
      </c>
      <c r="K23" s="9" t="s">
        <v>21</v>
      </c>
      <c r="L23" s="9" t="s">
        <v>18</v>
      </c>
      <c r="M23" s="32" t="s">
        <v>18</v>
      </c>
      <c r="N23">
        <f t="shared" si="3"/>
        <v>7</v>
      </c>
    </row>
    <row r="24" spans="4:14" ht="93">
      <c r="D24" s="6" t="s">
        <v>20</v>
      </c>
      <c r="E24" s="9" t="s">
        <v>21</v>
      </c>
      <c r="F24" s="9" t="s">
        <v>21</v>
      </c>
      <c r="G24" s="9" t="s">
        <v>21</v>
      </c>
      <c r="H24" s="9" t="s">
        <v>21</v>
      </c>
      <c r="I24" s="9" t="s">
        <v>21</v>
      </c>
      <c r="J24" s="9" t="s">
        <v>18</v>
      </c>
      <c r="K24" s="9" t="s">
        <v>18</v>
      </c>
      <c r="L24" s="9" t="s">
        <v>18</v>
      </c>
      <c r="M24" s="95" t="s">
        <v>21</v>
      </c>
      <c r="N24">
        <f t="shared" si="3"/>
        <v>6</v>
      </c>
    </row>
    <row r="25" spans="4:14" ht="93">
      <c r="D25" s="6" t="s">
        <v>49</v>
      </c>
      <c r="E25" s="9" t="s">
        <v>21</v>
      </c>
      <c r="F25" s="9" t="s">
        <v>21</v>
      </c>
      <c r="G25" s="9" t="s">
        <v>21</v>
      </c>
      <c r="H25" s="9" t="s">
        <v>21</v>
      </c>
      <c r="I25" s="9" t="s">
        <v>21</v>
      </c>
      <c r="J25" s="9" t="s">
        <v>18</v>
      </c>
      <c r="K25" s="9" t="s">
        <v>18</v>
      </c>
      <c r="L25" s="9" t="s">
        <v>18</v>
      </c>
      <c r="M25" s="95" t="s">
        <v>21</v>
      </c>
      <c r="N25">
        <f t="shared" si="3"/>
        <v>6</v>
      </c>
    </row>
    <row r="26" spans="4:14" ht="145.8">
      <c r="D26" s="6" t="s">
        <v>54</v>
      </c>
      <c r="E26" s="9" t="s">
        <v>21</v>
      </c>
      <c r="F26" s="9" t="s">
        <v>18</v>
      </c>
      <c r="G26" s="9" t="s">
        <v>21</v>
      </c>
      <c r="H26" s="9" t="s">
        <v>21</v>
      </c>
      <c r="I26" s="9" t="s">
        <v>21</v>
      </c>
      <c r="J26" s="9" t="s">
        <v>21</v>
      </c>
      <c r="K26" s="9" t="s">
        <v>21</v>
      </c>
      <c r="L26" s="9" t="s">
        <v>18</v>
      </c>
      <c r="M26" s="95" t="s">
        <v>18</v>
      </c>
      <c r="N26">
        <f t="shared" si="3"/>
        <v>6</v>
      </c>
    </row>
    <row r="27" spans="4:14" ht="53.4">
      <c r="D27" s="6" t="s">
        <v>59</v>
      </c>
      <c r="E27" s="9" t="s">
        <v>21</v>
      </c>
      <c r="F27" s="9" t="s">
        <v>18</v>
      </c>
      <c r="G27" s="9" t="s">
        <v>21</v>
      </c>
      <c r="H27" s="9" t="s">
        <v>21</v>
      </c>
      <c r="I27" s="9" t="s">
        <v>18</v>
      </c>
      <c r="J27" s="9" t="s">
        <v>21</v>
      </c>
      <c r="K27" s="9" t="s">
        <v>21</v>
      </c>
      <c r="L27" s="9" t="s">
        <v>18</v>
      </c>
      <c r="M27" s="95" t="s">
        <v>21</v>
      </c>
      <c r="N27">
        <f t="shared" si="3"/>
        <v>6</v>
      </c>
    </row>
    <row r="28" spans="4:14" ht="132.6">
      <c r="D28" s="6" t="s">
        <v>69</v>
      </c>
      <c r="E28" s="9" t="s">
        <v>21</v>
      </c>
      <c r="F28" s="9" t="s">
        <v>18</v>
      </c>
      <c r="G28" s="9" t="s">
        <v>18</v>
      </c>
      <c r="H28" s="9" t="s">
        <v>21</v>
      </c>
      <c r="I28" s="9" t="s">
        <v>21</v>
      </c>
      <c r="J28" s="9" t="s">
        <v>21</v>
      </c>
      <c r="K28" s="9" t="s">
        <v>21</v>
      </c>
      <c r="L28" s="9" t="s">
        <v>21</v>
      </c>
      <c r="M28" s="95" t="s">
        <v>18</v>
      </c>
      <c r="N28">
        <f t="shared" si="3"/>
        <v>6</v>
      </c>
    </row>
    <row r="29" spans="4:14" ht="79.8">
      <c r="D29" s="6" t="s">
        <v>73</v>
      </c>
      <c r="E29" s="9" t="s">
        <v>21</v>
      </c>
      <c r="F29" s="9" t="s">
        <v>18</v>
      </c>
      <c r="G29" s="9" t="s">
        <v>21</v>
      </c>
      <c r="H29" s="9" t="s">
        <v>21</v>
      </c>
      <c r="I29" s="9" t="s">
        <v>21</v>
      </c>
      <c r="J29" s="9" t="s">
        <v>21</v>
      </c>
      <c r="K29" s="9" t="s">
        <v>21</v>
      </c>
      <c r="L29" s="9" t="s">
        <v>18</v>
      </c>
      <c r="M29" s="95" t="s">
        <v>18</v>
      </c>
      <c r="N29">
        <f t="shared" si="3"/>
        <v>6</v>
      </c>
    </row>
    <row r="30" spans="4:14" ht="53.4">
      <c r="D30" s="6" t="s">
        <v>101</v>
      </c>
      <c r="E30" s="9" t="s">
        <v>21</v>
      </c>
      <c r="F30" s="9" t="s">
        <v>18</v>
      </c>
      <c r="G30" s="9" t="s">
        <v>21</v>
      </c>
      <c r="H30" s="9" t="s">
        <v>21</v>
      </c>
      <c r="I30" s="9" t="s">
        <v>21</v>
      </c>
      <c r="J30" s="9" t="s">
        <v>18</v>
      </c>
      <c r="K30" s="9" t="s">
        <v>18</v>
      </c>
      <c r="L30" s="9" t="s">
        <v>21</v>
      </c>
      <c r="M30" s="95" t="s">
        <v>21</v>
      </c>
      <c r="N30">
        <f t="shared" si="3"/>
        <v>6</v>
      </c>
    </row>
    <row r="31" spans="4:14" ht="66.6">
      <c r="D31" s="6" t="s">
        <v>23</v>
      </c>
      <c r="E31" s="9" t="s">
        <v>21</v>
      </c>
      <c r="F31" s="9" t="s">
        <v>18</v>
      </c>
      <c r="G31" s="70" t="s">
        <v>21</v>
      </c>
      <c r="H31" s="9" t="s">
        <v>21</v>
      </c>
      <c r="I31" s="9" t="s">
        <v>21</v>
      </c>
      <c r="J31" s="9" t="s">
        <v>18</v>
      </c>
      <c r="K31" s="9" t="s">
        <v>18</v>
      </c>
      <c r="L31" s="9" t="s">
        <v>18</v>
      </c>
      <c r="M31" s="95" t="s">
        <v>21</v>
      </c>
      <c r="N31">
        <f t="shared" si="3"/>
        <v>5</v>
      </c>
    </row>
    <row r="32" spans="4:14" ht="106.2">
      <c r="D32" s="6" t="s">
        <v>32</v>
      </c>
      <c r="E32" s="9" t="s">
        <v>21</v>
      </c>
      <c r="F32" s="9" t="s">
        <v>18</v>
      </c>
      <c r="G32" s="9" t="s">
        <v>21</v>
      </c>
      <c r="H32" s="9" t="s">
        <v>21</v>
      </c>
      <c r="I32" s="9" t="s">
        <v>21</v>
      </c>
      <c r="J32" s="9" t="s">
        <v>18</v>
      </c>
      <c r="K32" s="9" t="s">
        <v>18</v>
      </c>
      <c r="L32" s="9" t="s">
        <v>18</v>
      </c>
      <c r="M32" s="95" t="s">
        <v>21</v>
      </c>
      <c r="N32">
        <f t="shared" si="3"/>
        <v>5</v>
      </c>
    </row>
    <row r="33" spans="4:14" ht="172.2">
      <c r="D33" s="6" t="s">
        <v>39</v>
      </c>
      <c r="E33" s="9" t="s">
        <v>21</v>
      </c>
      <c r="F33" s="9" t="s">
        <v>18</v>
      </c>
      <c r="G33" s="70" t="s">
        <v>21</v>
      </c>
      <c r="H33" s="9" t="s">
        <v>21</v>
      </c>
      <c r="I33" s="9" t="s">
        <v>21</v>
      </c>
      <c r="J33" s="9" t="s">
        <v>18</v>
      </c>
      <c r="K33" s="9" t="s">
        <v>18</v>
      </c>
      <c r="L33" s="9" t="s">
        <v>18</v>
      </c>
      <c r="M33" s="95" t="s">
        <v>21</v>
      </c>
      <c r="N33">
        <f t="shared" si="3"/>
        <v>5</v>
      </c>
    </row>
    <row r="34" spans="4:14" ht="93">
      <c r="D34" s="6" t="s">
        <v>63</v>
      </c>
      <c r="E34" t="s">
        <v>21</v>
      </c>
      <c r="F34" t="s">
        <v>18</v>
      </c>
      <c r="G34" s="63" t="s">
        <v>21</v>
      </c>
      <c r="H34" t="s">
        <v>21</v>
      </c>
      <c r="I34" t="s">
        <v>21</v>
      </c>
      <c r="J34" t="s">
        <v>18</v>
      </c>
      <c r="K34" t="s">
        <v>18</v>
      </c>
      <c r="L34" t="s">
        <v>18</v>
      </c>
      <c r="M34" s="95" t="s">
        <v>21</v>
      </c>
      <c r="N34">
        <f t="shared" si="3"/>
        <v>5</v>
      </c>
    </row>
    <row r="35" spans="4:14" ht="53.4">
      <c r="D35" s="6" t="s">
        <v>72</v>
      </c>
      <c r="E35" s="9" t="s">
        <v>21</v>
      </c>
      <c r="F35" s="9" t="s">
        <v>18</v>
      </c>
      <c r="G35" s="70" t="s">
        <v>21</v>
      </c>
      <c r="H35" s="9" t="s">
        <v>21</v>
      </c>
      <c r="I35" s="9" t="s">
        <v>18</v>
      </c>
      <c r="J35" s="9" t="s">
        <v>21</v>
      </c>
      <c r="K35" s="9" t="s">
        <v>21</v>
      </c>
      <c r="L35" s="9" t="s">
        <v>18</v>
      </c>
      <c r="M35" s="95" t="s">
        <v>18</v>
      </c>
      <c r="N35">
        <f t="shared" si="3"/>
        <v>5</v>
      </c>
    </row>
    <row r="36" spans="4:14" ht="79.8">
      <c r="D36" s="6" t="s">
        <v>81</v>
      </c>
      <c r="E36" s="9" t="s">
        <v>21</v>
      </c>
      <c r="F36" s="9" t="s">
        <v>18</v>
      </c>
      <c r="G36" s="70" t="s">
        <v>21</v>
      </c>
      <c r="H36" s="9" t="s">
        <v>21</v>
      </c>
      <c r="I36" s="9" t="s">
        <v>21</v>
      </c>
      <c r="J36" s="9" t="s">
        <v>18</v>
      </c>
      <c r="K36" s="9" t="s">
        <v>18</v>
      </c>
      <c r="L36" s="9" t="s">
        <v>18</v>
      </c>
      <c r="M36" s="95" t="s">
        <v>21</v>
      </c>
      <c r="N36">
        <f t="shared" si="3"/>
        <v>5</v>
      </c>
    </row>
    <row r="37" spans="4:14" ht="106.2">
      <c r="D37" s="6" t="s">
        <v>46</v>
      </c>
      <c r="E37" s="9" t="s">
        <v>21</v>
      </c>
      <c r="F37" s="9" t="s">
        <v>18</v>
      </c>
      <c r="G37" s="70" t="s">
        <v>18</v>
      </c>
      <c r="H37" s="9" t="s">
        <v>21</v>
      </c>
      <c r="I37" s="9" t="s">
        <v>18</v>
      </c>
      <c r="J37" s="9" t="s">
        <v>21</v>
      </c>
      <c r="K37" s="9" t="s">
        <v>18</v>
      </c>
      <c r="L37" s="9" t="s">
        <v>18</v>
      </c>
      <c r="M37" s="95" t="s">
        <v>21</v>
      </c>
      <c r="N37">
        <f t="shared" si="3"/>
        <v>4</v>
      </c>
    </row>
    <row r="38" spans="4:14" ht="106.2">
      <c r="D38" s="6" t="s">
        <v>56</v>
      </c>
      <c r="E38" s="9" t="s">
        <v>21</v>
      </c>
      <c r="F38" s="9" t="s">
        <v>18</v>
      </c>
      <c r="G38" s="70" t="s">
        <v>21</v>
      </c>
      <c r="H38" s="9" t="s">
        <v>21</v>
      </c>
      <c r="I38" s="9" t="s">
        <v>21</v>
      </c>
      <c r="J38" s="9" t="s">
        <v>18</v>
      </c>
      <c r="K38" s="9" t="s">
        <v>18</v>
      </c>
      <c r="L38" s="9" t="s">
        <v>18</v>
      </c>
      <c r="M38" s="95" t="s">
        <v>18</v>
      </c>
      <c r="N38">
        <f t="shared" si="3"/>
        <v>4</v>
      </c>
    </row>
    <row r="39" spans="4:14" ht="172.2">
      <c r="D39" s="6" t="s">
        <v>62</v>
      </c>
      <c r="E39" s="9" t="s">
        <v>21</v>
      </c>
      <c r="F39" s="9" t="s">
        <v>21</v>
      </c>
      <c r="G39" s="70" t="s">
        <v>18</v>
      </c>
      <c r="H39" s="9" t="s">
        <v>21</v>
      </c>
      <c r="I39" s="9" t="s">
        <v>18</v>
      </c>
      <c r="J39" s="9" t="s">
        <v>18</v>
      </c>
      <c r="K39" s="9" t="s">
        <v>18</v>
      </c>
      <c r="L39" s="9" t="s">
        <v>18</v>
      </c>
      <c r="M39" s="95" t="s">
        <v>21</v>
      </c>
      <c r="N39">
        <f t="shared" si="3"/>
        <v>4</v>
      </c>
    </row>
    <row r="40" spans="4:14" ht="66.6">
      <c r="D40" s="6" t="s">
        <v>77</v>
      </c>
      <c r="E40" s="9" t="s">
        <v>21</v>
      </c>
      <c r="F40" s="9" t="s">
        <v>18</v>
      </c>
      <c r="G40" s="70" t="s">
        <v>21</v>
      </c>
      <c r="H40" s="9" t="s">
        <v>21</v>
      </c>
      <c r="I40" s="9" t="s">
        <v>21</v>
      </c>
      <c r="J40" s="9" t="s">
        <v>18</v>
      </c>
      <c r="K40" s="9" t="s">
        <v>18</v>
      </c>
      <c r="L40" s="9" t="s">
        <v>18</v>
      </c>
      <c r="M40" s="95" t="s">
        <v>18</v>
      </c>
      <c r="N40">
        <f t="shared" si="3"/>
        <v>4</v>
      </c>
    </row>
    <row r="41" spans="4:14" ht="106.2">
      <c r="D41" s="6" t="s">
        <v>78</v>
      </c>
      <c r="E41" s="9" t="s">
        <v>21</v>
      </c>
      <c r="F41" s="9" t="s">
        <v>18</v>
      </c>
      <c r="G41" s="70" t="s">
        <v>21</v>
      </c>
      <c r="H41" s="9" t="s">
        <v>21</v>
      </c>
      <c r="I41" s="9" t="s">
        <v>21</v>
      </c>
      <c r="J41" s="9" t="s">
        <v>18</v>
      </c>
      <c r="K41" s="9" t="s">
        <v>18</v>
      </c>
      <c r="L41" s="9" t="s">
        <v>18</v>
      </c>
      <c r="M41" s="95" t="s">
        <v>18</v>
      </c>
      <c r="N41">
        <f t="shared" si="3"/>
        <v>4</v>
      </c>
    </row>
    <row r="42" spans="4:14" ht="132.6">
      <c r="D42" s="6" t="s">
        <v>95</v>
      </c>
      <c r="E42" s="9" t="s">
        <v>21</v>
      </c>
      <c r="F42" s="9" t="s">
        <v>18</v>
      </c>
      <c r="G42" s="70" t="s">
        <v>21</v>
      </c>
      <c r="H42" s="9" t="s">
        <v>21</v>
      </c>
      <c r="I42" s="9" t="s">
        <v>21</v>
      </c>
      <c r="J42" s="9" t="s">
        <v>18</v>
      </c>
      <c r="K42" s="9" t="s">
        <v>18</v>
      </c>
      <c r="L42" s="9" t="s">
        <v>18</v>
      </c>
      <c r="M42" s="95" t="s">
        <v>18</v>
      </c>
      <c r="N42">
        <f t="shared" si="3"/>
        <v>4</v>
      </c>
    </row>
    <row r="43" spans="4:14" ht="53.4">
      <c r="D43" s="6" t="s">
        <v>12</v>
      </c>
      <c r="E43" s="70" t="s">
        <v>21</v>
      </c>
      <c r="F43" s="9" t="s">
        <v>18</v>
      </c>
      <c r="G43" s="70" t="s">
        <v>18</v>
      </c>
      <c r="H43" s="9" t="s">
        <v>21</v>
      </c>
      <c r="I43" s="9" t="s">
        <v>21</v>
      </c>
      <c r="J43" s="9" t="s">
        <v>18</v>
      </c>
      <c r="K43" s="9" t="s">
        <v>18</v>
      </c>
      <c r="L43" s="9" t="s">
        <v>18</v>
      </c>
      <c r="M43" s="95" t="s">
        <v>18</v>
      </c>
      <c r="N43">
        <f t="shared" si="3"/>
        <v>3</v>
      </c>
    </row>
    <row r="44" spans="4:14" ht="119.4">
      <c r="D44" s="6" t="s">
        <v>26</v>
      </c>
      <c r="E44" s="9" t="s">
        <v>21</v>
      </c>
      <c r="F44" s="9" t="s">
        <v>21</v>
      </c>
      <c r="G44" s="70" t="s">
        <v>18</v>
      </c>
      <c r="H44" s="9" t="s">
        <v>18</v>
      </c>
      <c r="I44" s="9" t="s">
        <v>18</v>
      </c>
      <c r="J44" s="9" t="s">
        <v>18</v>
      </c>
      <c r="K44" s="9" t="s">
        <v>18</v>
      </c>
      <c r="L44" s="9" t="s">
        <v>18</v>
      </c>
      <c r="M44" s="95" t="s">
        <v>21</v>
      </c>
      <c r="N44">
        <f t="shared" si="3"/>
        <v>3</v>
      </c>
    </row>
    <row r="45" spans="4:14" ht="145.8">
      <c r="D45" s="6" t="s">
        <v>51</v>
      </c>
      <c r="E45" s="9" t="s">
        <v>21</v>
      </c>
      <c r="F45" s="9" t="s">
        <v>18</v>
      </c>
      <c r="G45" s="70" t="s">
        <v>18</v>
      </c>
      <c r="H45" s="46" t="s">
        <v>18</v>
      </c>
      <c r="I45" s="9" t="s">
        <v>21</v>
      </c>
      <c r="J45" s="9" t="s">
        <v>18</v>
      </c>
      <c r="K45" s="9" t="s">
        <v>18</v>
      </c>
      <c r="L45" s="9" t="s">
        <v>18</v>
      </c>
      <c r="M45" s="95" t="s">
        <v>21</v>
      </c>
      <c r="N45">
        <f t="shared" si="3"/>
        <v>3</v>
      </c>
    </row>
    <row r="46" spans="4:14" ht="106.2">
      <c r="D46" s="6" t="s">
        <v>60</v>
      </c>
      <c r="E46" s="9" t="s">
        <v>18</v>
      </c>
      <c r="F46" s="9" t="s">
        <v>18</v>
      </c>
      <c r="G46" s="70" t="s">
        <v>18</v>
      </c>
      <c r="H46" s="9" t="s">
        <v>21</v>
      </c>
      <c r="I46" s="9" t="s">
        <v>21</v>
      </c>
      <c r="J46" s="9" t="s">
        <v>18</v>
      </c>
      <c r="K46" s="9" t="s">
        <v>18</v>
      </c>
      <c r="L46" s="9" t="s">
        <v>18</v>
      </c>
      <c r="M46" s="95" t="s">
        <v>18</v>
      </c>
      <c r="N46">
        <f t="shared" si="3"/>
        <v>2</v>
      </c>
    </row>
    <row r="47" spans="4:14" ht="66.6">
      <c r="D47" s="6" t="s">
        <v>64</v>
      </c>
      <c r="E47" s="9" t="s">
        <v>21</v>
      </c>
      <c r="F47" s="9" t="s">
        <v>21</v>
      </c>
      <c r="G47" s="70" t="s">
        <v>18</v>
      </c>
      <c r="H47" s="9" t="s">
        <v>18</v>
      </c>
      <c r="I47" s="9" t="s">
        <v>18</v>
      </c>
      <c r="J47" s="9" t="s">
        <v>18</v>
      </c>
      <c r="K47" s="9" t="s">
        <v>18</v>
      </c>
      <c r="L47" s="9" t="s">
        <v>18</v>
      </c>
      <c r="M47" s="95" t="s">
        <v>18</v>
      </c>
      <c r="N47">
        <f t="shared" si="3"/>
        <v>2</v>
      </c>
    </row>
    <row r="48" spans="4:14" ht="93">
      <c r="D48" s="6" t="s">
        <v>84</v>
      </c>
      <c r="E48" s="9" t="s">
        <v>21</v>
      </c>
      <c r="F48" s="9" t="s">
        <v>21</v>
      </c>
      <c r="G48" s="70" t="s">
        <v>18</v>
      </c>
      <c r="H48" s="9" t="s">
        <v>18</v>
      </c>
      <c r="I48" s="9" t="s">
        <v>18</v>
      </c>
      <c r="J48" s="9" t="s">
        <v>18</v>
      </c>
      <c r="K48" s="9" t="s">
        <v>18</v>
      </c>
      <c r="L48" s="9" t="s">
        <v>18</v>
      </c>
      <c r="M48" s="95" t="s">
        <v>18</v>
      </c>
      <c r="N48">
        <f t="shared" si="3"/>
        <v>2</v>
      </c>
    </row>
    <row r="49" spans="4:14" ht="119.4">
      <c r="D49" s="6" t="s">
        <v>85</v>
      </c>
      <c r="E49" s="9" t="s">
        <v>21</v>
      </c>
      <c r="F49" s="9" t="s">
        <v>21</v>
      </c>
      <c r="G49" s="70" t="s">
        <v>18</v>
      </c>
      <c r="H49" s="9" t="s">
        <v>18</v>
      </c>
      <c r="I49" s="9" t="s">
        <v>18</v>
      </c>
      <c r="J49" s="9" t="s">
        <v>18</v>
      </c>
      <c r="K49" s="9" t="s">
        <v>18</v>
      </c>
      <c r="L49" s="9" t="s">
        <v>18</v>
      </c>
      <c r="M49" s="95" t="s">
        <v>18</v>
      </c>
      <c r="N49">
        <f t="shared" si="3"/>
        <v>2</v>
      </c>
    </row>
    <row r="50" spans="4:14" ht="93">
      <c r="D50" s="6" t="s">
        <v>98</v>
      </c>
      <c r="E50" s="9" t="s">
        <v>18</v>
      </c>
      <c r="F50" s="9" t="s">
        <v>18</v>
      </c>
      <c r="G50" s="70" t="s">
        <v>18</v>
      </c>
      <c r="H50" s="9" t="s">
        <v>21</v>
      </c>
      <c r="I50" s="9" t="s">
        <v>21</v>
      </c>
      <c r="J50" s="9" t="s">
        <v>18</v>
      </c>
      <c r="K50" s="9" t="s">
        <v>18</v>
      </c>
      <c r="L50" s="9" t="s">
        <v>18</v>
      </c>
      <c r="M50" s="95" t="s">
        <v>18</v>
      </c>
      <c r="N50">
        <f t="shared" si="3"/>
        <v>2</v>
      </c>
    </row>
    <row r="51" spans="4:14" ht="93">
      <c r="D51" s="6" t="s">
        <v>99</v>
      </c>
      <c r="E51" s="9" t="s">
        <v>21</v>
      </c>
      <c r="F51" s="9" t="s">
        <v>21</v>
      </c>
      <c r="G51" s="70" t="s">
        <v>18</v>
      </c>
      <c r="H51" s="9" t="s">
        <v>18</v>
      </c>
      <c r="I51" s="9" t="s">
        <v>18</v>
      </c>
      <c r="J51" s="9" t="s">
        <v>18</v>
      </c>
      <c r="K51" s="9" t="s">
        <v>18</v>
      </c>
      <c r="L51" s="9" t="s">
        <v>18</v>
      </c>
      <c r="M51" s="95" t="s">
        <v>18</v>
      </c>
      <c r="N51">
        <f t="shared" si="3"/>
        <v>2</v>
      </c>
    </row>
    <row r="52" spans="4:14" ht="145.8">
      <c r="D52" s="6" t="s">
        <v>103</v>
      </c>
      <c r="E52" s="9" t="s">
        <v>21</v>
      </c>
      <c r="F52" s="9" t="s">
        <v>21</v>
      </c>
      <c r="G52" s="70" t="s">
        <v>18</v>
      </c>
      <c r="H52" s="9" t="s">
        <v>18</v>
      </c>
      <c r="I52" s="9" t="s">
        <v>18</v>
      </c>
      <c r="J52" s="9" t="s">
        <v>18</v>
      </c>
      <c r="K52" s="9" t="s">
        <v>18</v>
      </c>
      <c r="L52" s="9" t="s">
        <v>18</v>
      </c>
      <c r="M52" s="95" t="s">
        <v>18</v>
      </c>
      <c r="N52">
        <f t="shared" si="3"/>
        <v>2</v>
      </c>
    </row>
    <row r="53" spans="4:14" ht="53.4">
      <c r="D53" s="72" t="s">
        <v>348</v>
      </c>
      <c r="E53" s="9" t="s">
        <v>21</v>
      </c>
      <c r="F53" s="9" t="s">
        <v>18</v>
      </c>
      <c r="G53" s="9" t="s">
        <v>18</v>
      </c>
      <c r="H53" s="9" t="s">
        <v>21</v>
      </c>
      <c r="I53" s="9" t="s">
        <v>18</v>
      </c>
      <c r="J53" s="9" t="s">
        <v>18</v>
      </c>
      <c r="K53" s="9" t="s">
        <v>18</v>
      </c>
      <c r="L53" s="9" t="s">
        <v>18</v>
      </c>
      <c r="M53" s="95" t="s">
        <v>18</v>
      </c>
      <c r="N53">
        <f t="shared" si="3"/>
        <v>2</v>
      </c>
    </row>
    <row r="54" spans="4:14" ht="106.2">
      <c r="D54" s="6" t="s">
        <v>71</v>
      </c>
      <c r="E54" s="9" t="s">
        <v>18</v>
      </c>
      <c r="F54" s="9" t="s">
        <v>18</v>
      </c>
      <c r="G54" s="70" t="s">
        <v>18</v>
      </c>
      <c r="H54" s="9" t="s">
        <v>18</v>
      </c>
      <c r="I54" s="9" t="s">
        <v>18</v>
      </c>
      <c r="J54" s="9" t="s">
        <v>21</v>
      </c>
      <c r="K54" s="9" t="s">
        <v>18</v>
      </c>
      <c r="L54" s="9" t="s">
        <v>18</v>
      </c>
      <c r="M54" s="95" t="s">
        <v>18</v>
      </c>
      <c r="N54">
        <f t="shared" si="3"/>
        <v>1</v>
      </c>
    </row>
    <row r="55" spans="4:14" ht="40.2">
      <c r="D55" s="6" t="s">
        <v>76</v>
      </c>
      <c r="E55" s="9" t="s">
        <v>18</v>
      </c>
      <c r="F55" s="9" t="s">
        <v>18</v>
      </c>
      <c r="G55" s="70" t="s">
        <v>18</v>
      </c>
      <c r="H55" s="9" t="s">
        <v>18</v>
      </c>
      <c r="I55" s="9" t="s">
        <v>18</v>
      </c>
      <c r="J55" s="9" t="s">
        <v>18</v>
      </c>
      <c r="K55" s="9" t="s">
        <v>18</v>
      </c>
      <c r="L55" s="9" t="s">
        <v>18</v>
      </c>
      <c r="M55" s="95" t="s">
        <v>21</v>
      </c>
      <c r="N55">
        <f t="shared" si="3"/>
        <v>1</v>
      </c>
    </row>
    <row r="56" spans="4:14" ht="66.6">
      <c r="D56" s="6" t="s">
        <v>66</v>
      </c>
      <c r="E56" s="9" t="s">
        <v>18</v>
      </c>
      <c r="F56" s="9" t="s">
        <v>18</v>
      </c>
      <c r="G56" s="70" t="s">
        <v>18</v>
      </c>
      <c r="H56" s="9" t="s">
        <v>18</v>
      </c>
      <c r="I56" s="9" t="s">
        <v>18</v>
      </c>
      <c r="J56" s="9" t="s">
        <v>18</v>
      </c>
      <c r="K56" s="9" t="s">
        <v>18</v>
      </c>
      <c r="L56" s="9" t="s">
        <v>18</v>
      </c>
      <c r="M56" s="95" t="s">
        <v>18</v>
      </c>
      <c r="N56">
        <f t="shared" si="3"/>
        <v>0</v>
      </c>
    </row>
    <row r="57" spans="4:14" ht="66.6">
      <c r="D57" s="6" t="s">
        <v>190</v>
      </c>
      <c r="E57" s="9" t="s">
        <v>18</v>
      </c>
      <c r="F57" s="9" t="s">
        <v>18</v>
      </c>
      <c r="G57" s="70" t="s">
        <v>18</v>
      </c>
      <c r="H57" s="9" t="s">
        <v>18</v>
      </c>
      <c r="I57" s="9" t="s">
        <v>18</v>
      </c>
      <c r="J57" s="9" t="s">
        <v>18</v>
      </c>
      <c r="K57" s="9" t="s">
        <v>18</v>
      </c>
      <c r="L57" s="9" t="s">
        <v>18</v>
      </c>
      <c r="M57" s="95" t="s">
        <v>18</v>
      </c>
      <c r="N57">
        <f t="shared" si="3"/>
        <v>0</v>
      </c>
    </row>
    <row r="58" spans="4:14" ht="79.8">
      <c r="D58" s="6" t="s">
        <v>191</v>
      </c>
      <c r="E58" s="9" t="s">
        <v>18</v>
      </c>
      <c r="F58" s="9" t="s">
        <v>18</v>
      </c>
      <c r="G58" s="70" t="s">
        <v>18</v>
      </c>
      <c r="H58" s="9" t="s">
        <v>18</v>
      </c>
      <c r="I58" s="9" t="s">
        <v>18</v>
      </c>
      <c r="J58" s="9" t="s">
        <v>18</v>
      </c>
      <c r="K58" s="9" t="s">
        <v>18</v>
      </c>
      <c r="L58" s="9" t="s">
        <v>18</v>
      </c>
      <c r="M58" s="95" t="s">
        <v>18</v>
      </c>
      <c r="N58">
        <f t="shared" si="3"/>
        <v>0</v>
      </c>
    </row>
    <row r="59" spans="4:14" ht="66.6">
      <c r="D59" s="6" t="s">
        <v>87</v>
      </c>
      <c r="E59" s="9" t="s">
        <v>18</v>
      </c>
      <c r="F59" s="9" t="s">
        <v>18</v>
      </c>
      <c r="G59" s="70" t="s">
        <v>18</v>
      </c>
      <c r="H59" s="9" t="s">
        <v>18</v>
      </c>
      <c r="I59" s="9" t="s">
        <v>18</v>
      </c>
      <c r="J59" s="9" t="s">
        <v>18</v>
      </c>
      <c r="K59" s="9" t="s">
        <v>18</v>
      </c>
      <c r="L59" s="9" t="s">
        <v>18</v>
      </c>
      <c r="M59" s="95" t="s">
        <v>18</v>
      </c>
      <c r="N59">
        <f t="shared" si="3"/>
        <v>0</v>
      </c>
    </row>
    <row r="60" spans="4:14" ht="53.4">
      <c r="D60" s="6" t="s">
        <v>90</v>
      </c>
      <c r="E60" s="9" t="s">
        <v>18</v>
      </c>
      <c r="F60" s="9" t="s">
        <v>18</v>
      </c>
      <c r="G60" s="70" t="s">
        <v>18</v>
      </c>
      <c r="H60" s="9" t="s">
        <v>18</v>
      </c>
      <c r="I60" s="9" t="s">
        <v>18</v>
      </c>
      <c r="J60" s="9" t="s">
        <v>18</v>
      </c>
      <c r="K60" s="9" t="s">
        <v>18</v>
      </c>
      <c r="L60" s="9" t="s">
        <v>18</v>
      </c>
      <c r="M60" s="95" t="s">
        <v>18</v>
      </c>
      <c r="N60">
        <f t="shared" si="3"/>
        <v>0</v>
      </c>
    </row>
    <row r="61" spans="4:14" ht="40.2">
      <c r="D61" s="6" t="s">
        <v>192</v>
      </c>
      <c r="E61" s="9" t="s">
        <v>18</v>
      </c>
      <c r="F61" s="9" t="s">
        <v>18</v>
      </c>
      <c r="G61" s="70" t="s">
        <v>18</v>
      </c>
      <c r="H61" s="9" t="s">
        <v>18</v>
      </c>
      <c r="I61" s="9" t="s">
        <v>18</v>
      </c>
      <c r="J61" s="9" t="s">
        <v>18</v>
      </c>
      <c r="K61" s="9" t="s">
        <v>18</v>
      </c>
      <c r="L61" s="9" t="s">
        <v>18</v>
      </c>
      <c r="M61" s="95" t="s">
        <v>18</v>
      </c>
      <c r="N61">
        <f t="shared" si="3"/>
        <v>0</v>
      </c>
    </row>
    <row r="62" spans="4:14" ht="53.4">
      <c r="D62" s="69" t="s">
        <v>93</v>
      </c>
      <c r="E62" s="9" t="s">
        <v>18</v>
      </c>
      <c r="F62" s="9" t="s">
        <v>18</v>
      </c>
      <c r="G62" s="70" t="s">
        <v>18</v>
      </c>
      <c r="H62" s="9" t="s">
        <v>18</v>
      </c>
      <c r="I62" s="9" t="s">
        <v>18</v>
      </c>
      <c r="J62" s="9" t="s">
        <v>18</v>
      </c>
      <c r="K62" s="9" t="s">
        <v>18</v>
      </c>
      <c r="L62" s="9" t="s">
        <v>18</v>
      </c>
      <c r="M62" s="95" t="s">
        <v>18</v>
      </c>
      <c r="N62">
        <f t="shared" si="3"/>
        <v>0</v>
      </c>
    </row>
  </sheetData>
  <sheetProtection sheet="1" objects="1" scenarios="1"/>
  <mergeCells count="1">
    <mergeCell ref="A2:A3"/>
  </mergeCells>
  <conditionalFormatting sqref="B16:AS16">
    <cfRule type="containsText" priority="93" dxfId="0" operator="containsText" text="YES">
      <formula>NOT(ISERROR(SEARCH("YES",B16)))</formula>
    </cfRule>
  </conditionalFormatting>
  <conditionalFormatting sqref="B4:AR4 D19:D60">
    <cfRule type="expression" priority="95" dxfId="6">
      <formula>('Data extraction-synthesis'!$E$2="Journal article")</formula>
    </cfRule>
  </conditionalFormatting>
  <conditionalFormatting sqref="D61">
    <cfRule type="expression" priority="3" dxfId="6">
      <formula>('Data extraction-synthesis'!$E$2="Journal article")</formula>
    </cfRule>
  </conditionalFormatting>
  <dataValidations count="1">
    <dataValidation type="list" allowBlank="1" showInputMessage="1" showErrorMessage="1" sqref="E19:M22 AW5:BI14 E24:M62 E23:L23 AU5:AV13 B5:AS13">
      <formula1>#REF!</formula1>
    </dataValidation>
  </dataValidations>
  <printOptions/>
  <pageMargins left="0.7" right="0.7" top="0.75" bottom="0.75" header="0.3" footer="0.3"/>
  <pageSetup horizontalDpi="300" verticalDpi="300" orientation="portrait" paperSize="9" r:id="rId1"/>
  <extLst>
    <ext xmlns:x14="http://schemas.microsoft.com/office/spreadsheetml/2009/9/main" uri="{78C0D931-6437-407d-A8EE-F0AAD7539E65}">
      <x14:conditionalFormattings>
        <x14:conditionalFormatting xmlns:xm="http://schemas.microsoft.com/office/excel/2006/main">
          <x14:cfRule type="expression" priority="95">
            <xm:f>('Data extraction-synthesis'!$E$2="Journal article")</xm:f>
            <x14:dxf>
              <border/>
            </x14:dxf>
          </x14:cfRule>
          <xm:sqref>B4:AR4 D19:D60</xm:sqref>
        </x14:conditionalFormatting>
        <x14:conditionalFormatting xmlns:xm="http://schemas.microsoft.com/office/excel/2006/main">
          <x14:cfRule type="expression" priority="3">
            <xm:f>('Data extraction-synthesis'!$E$2="Journal article")</xm:f>
            <x14:dxf/>
          </x14:cfRule>
          <xm:sqref>D61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G46"/>
  <sheetViews>
    <sheetView zoomScale="70" zoomScaleNormal="70" workbookViewId="0" topLeftCell="A31">
      <selection activeCell="W37" sqref="W37"/>
    </sheetView>
  </sheetViews>
  <sheetFormatPr defaultColWidth="9.00390625" defaultRowHeight="15.75"/>
  <cols>
    <col min="1" max="1" width="12.00390625" style="0" customWidth="1"/>
    <col min="2" max="2" width="10.25390625" style="0" customWidth="1"/>
    <col min="4" max="4" width="22.625" style="0" bestFit="1" customWidth="1"/>
    <col min="5" max="5" width="37.50390625" style="0" bestFit="1" customWidth="1"/>
    <col min="6" max="6" width="18.00390625" style="0" customWidth="1"/>
    <col min="7" max="7" width="13.25390625" style="0" customWidth="1"/>
  </cols>
  <sheetData>
    <row r="1" spans="1:7" ht="66.6">
      <c r="A1" s="27" t="s">
        <v>1</v>
      </c>
      <c r="B1" s="27" t="s">
        <v>2</v>
      </c>
      <c r="C1" s="58" t="s">
        <v>379</v>
      </c>
      <c r="D1" s="58" t="s">
        <v>381</v>
      </c>
      <c r="E1" s="58" t="s">
        <v>382</v>
      </c>
      <c r="F1" s="78" t="s">
        <v>383</v>
      </c>
      <c r="G1" s="79" t="s">
        <v>392</v>
      </c>
    </row>
    <row r="2" spans="1:7" ht="280.8">
      <c r="A2" s="115" t="s">
        <v>11</v>
      </c>
      <c r="B2" s="116" t="s">
        <v>12</v>
      </c>
      <c r="C2" s="117" t="s">
        <v>380</v>
      </c>
      <c r="D2" s="118" t="s">
        <v>384</v>
      </c>
      <c r="E2" s="117" t="s">
        <v>385</v>
      </c>
      <c r="F2" s="118" t="s">
        <v>386</v>
      </c>
      <c r="G2" s="117" t="s">
        <v>393</v>
      </c>
    </row>
    <row r="3" spans="1:7" ht="202.8">
      <c r="A3" s="115" t="s">
        <v>19</v>
      </c>
      <c r="B3" s="116" t="s">
        <v>20</v>
      </c>
      <c r="C3" s="117" t="s">
        <v>380</v>
      </c>
      <c r="D3" s="119" t="s">
        <v>387</v>
      </c>
      <c r="E3" s="120" t="s">
        <v>388</v>
      </c>
      <c r="F3" s="118" t="s">
        <v>389</v>
      </c>
      <c r="G3" s="117" t="s">
        <v>380</v>
      </c>
    </row>
    <row r="4" spans="1:7" ht="211.8">
      <c r="A4" s="115" t="s">
        <v>22</v>
      </c>
      <c r="B4" s="116" t="s">
        <v>23</v>
      </c>
      <c r="C4" s="117" t="s">
        <v>380</v>
      </c>
      <c r="D4" s="119" t="s">
        <v>395</v>
      </c>
      <c r="E4" s="118" t="s">
        <v>396</v>
      </c>
      <c r="F4" s="118" t="s">
        <v>397</v>
      </c>
      <c r="G4" s="117" t="s">
        <v>380</v>
      </c>
    </row>
    <row r="5" spans="1:7" ht="172.2">
      <c r="A5" s="121" t="s">
        <v>25</v>
      </c>
      <c r="B5" s="116" t="s">
        <v>26</v>
      </c>
      <c r="C5" s="117" t="s">
        <v>380</v>
      </c>
      <c r="D5" s="118" t="s">
        <v>394</v>
      </c>
      <c r="E5" s="117" t="s">
        <v>394</v>
      </c>
      <c r="F5" s="118" t="s">
        <v>394</v>
      </c>
      <c r="G5" s="117" t="s">
        <v>303</v>
      </c>
    </row>
    <row r="6" spans="1:7" ht="396.6">
      <c r="A6" s="115" t="s">
        <v>31</v>
      </c>
      <c r="B6" s="116" t="s">
        <v>32</v>
      </c>
      <c r="C6" s="117" t="s">
        <v>380</v>
      </c>
      <c r="D6" s="118" t="s">
        <v>403</v>
      </c>
      <c r="E6" s="117" t="s">
        <v>394</v>
      </c>
      <c r="F6" s="118" t="s">
        <v>394</v>
      </c>
      <c r="G6" s="117" t="s">
        <v>393</v>
      </c>
    </row>
    <row r="7" spans="1:7" ht="251.4">
      <c r="A7" s="115" t="s">
        <v>34</v>
      </c>
      <c r="B7" s="116" t="s">
        <v>35</v>
      </c>
      <c r="C7" s="117" t="s">
        <v>380</v>
      </c>
      <c r="D7" s="122" t="s">
        <v>404</v>
      </c>
      <c r="E7" s="117" t="s">
        <v>405</v>
      </c>
      <c r="F7" s="118" t="s">
        <v>406</v>
      </c>
      <c r="G7" s="117" t="s">
        <v>380</v>
      </c>
    </row>
    <row r="8" spans="1:7" ht="185.4">
      <c r="A8" s="115" t="s">
        <v>36</v>
      </c>
      <c r="B8" s="116" t="s">
        <v>37</v>
      </c>
      <c r="C8" s="117" t="s">
        <v>380</v>
      </c>
      <c r="D8" s="119" t="s">
        <v>399</v>
      </c>
      <c r="E8" s="120" t="s">
        <v>400</v>
      </c>
      <c r="F8" s="118" t="s">
        <v>394</v>
      </c>
      <c r="G8" s="117" t="s">
        <v>393</v>
      </c>
    </row>
    <row r="9" spans="1:7" ht="264.6">
      <c r="A9" s="115" t="s">
        <v>38</v>
      </c>
      <c r="B9" s="116" t="s">
        <v>39</v>
      </c>
      <c r="C9" s="117" t="s">
        <v>380</v>
      </c>
      <c r="D9" s="122" t="s">
        <v>401</v>
      </c>
      <c r="E9" s="117" t="s">
        <v>394</v>
      </c>
      <c r="F9" s="118" t="s">
        <v>394</v>
      </c>
      <c r="G9" s="117" t="s">
        <v>393</v>
      </c>
    </row>
    <row r="10" spans="1:7" ht="264.6">
      <c r="A10" s="115" t="s">
        <v>41</v>
      </c>
      <c r="B10" s="116" t="s">
        <v>42</v>
      </c>
      <c r="C10" s="117" t="s">
        <v>257</v>
      </c>
      <c r="D10" s="119" t="s">
        <v>402</v>
      </c>
      <c r="E10" s="117" t="s">
        <v>394</v>
      </c>
      <c r="F10" s="118" t="s">
        <v>394</v>
      </c>
      <c r="G10" s="117" t="s">
        <v>393</v>
      </c>
    </row>
    <row r="11" spans="1:7" ht="343.8">
      <c r="A11" s="115" t="s">
        <v>43</v>
      </c>
      <c r="B11" s="116" t="s">
        <v>44</v>
      </c>
      <c r="C11" s="117" t="s">
        <v>380</v>
      </c>
      <c r="D11" s="118" t="s">
        <v>412</v>
      </c>
      <c r="E11" s="117" t="s">
        <v>413</v>
      </c>
      <c r="F11" s="123" t="s">
        <v>414</v>
      </c>
      <c r="G11" s="117" t="s">
        <v>393</v>
      </c>
    </row>
    <row r="12" spans="1:7" ht="198.6">
      <c r="A12" s="115" t="s">
        <v>45</v>
      </c>
      <c r="B12" s="116" t="s">
        <v>46</v>
      </c>
      <c r="C12" s="117" t="s">
        <v>380</v>
      </c>
      <c r="D12" s="118" t="s">
        <v>415</v>
      </c>
      <c r="E12" s="117" t="s">
        <v>394</v>
      </c>
      <c r="F12" s="118" t="s">
        <v>394</v>
      </c>
      <c r="G12" s="117" t="s">
        <v>303</v>
      </c>
    </row>
    <row r="13" spans="1:7" ht="198.6">
      <c r="A13" s="115" t="s">
        <v>48</v>
      </c>
      <c r="B13" s="116" t="s">
        <v>49</v>
      </c>
      <c r="C13" s="117" t="s">
        <v>380</v>
      </c>
      <c r="D13" s="124" t="s">
        <v>416</v>
      </c>
      <c r="E13" s="124" t="s">
        <v>417</v>
      </c>
      <c r="F13" s="117"/>
      <c r="G13" s="117" t="s">
        <v>380</v>
      </c>
    </row>
    <row r="14" spans="1:7" ht="396.6">
      <c r="A14" s="115" t="s">
        <v>50</v>
      </c>
      <c r="B14" s="116" t="s">
        <v>51</v>
      </c>
      <c r="C14" s="117" t="s">
        <v>380</v>
      </c>
      <c r="D14" s="118" t="s">
        <v>419</v>
      </c>
      <c r="E14" s="117" t="s">
        <v>394</v>
      </c>
      <c r="F14" s="118" t="s">
        <v>394</v>
      </c>
      <c r="G14" s="117" t="s">
        <v>393</v>
      </c>
    </row>
    <row r="15" spans="1:7" ht="185.4">
      <c r="A15" s="115" t="s">
        <v>53</v>
      </c>
      <c r="B15" s="116" t="s">
        <v>54</v>
      </c>
      <c r="C15" s="117" t="s">
        <v>380</v>
      </c>
      <c r="D15" s="122" t="s">
        <v>420</v>
      </c>
      <c r="E15" s="118" t="s">
        <v>421</v>
      </c>
      <c r="F15" s="118" t="s">
        <v>422</v>
      </c>
      <c r="G15" s="118" t="s">
        <v>380</v>
      </c>
    </row>
    <row r="16" spans="1:7" ht="172.2">
      <c r="A16" s="115" t="s">
        <v>55</v>
      </c>
      <c r="B16" s="116" t="s">
        <v>56</v>
      </c>
      <c r="C16" s="117" t="s">
        <v>380</v>
      </c>
      <c r="D16" s="118" t="s">
        <v>403</v>
      </c>
      <c r="E16" s="117" t="s">
        <v>408</v>
      </c>
      <c r="F16" s="118" t="s">
        <v>409</v>
      </c>
      <c r="G16" s="117" t="s">
        <v>393</v>
      </c>
    </row>
    <row r="17" spans="1:7" ht="79.8">
      <c r="A17" s="115" t="s">
        <v>58</v>
      </c>
      <c r="B17" s="116" t="s">
        <v>59</v>
      </c>
      <c r="C17" s="117" t="s">
        <v>380</v>
      </c>
      <c r="D17" s="122" t="s">
        <v>428</v>
      </c>
      <c r="E17" s="120">
        <v>37</v>
      </c>
      <c r="F17" s="125" t="s">
        <v>398</v>
      </c>
      <c r="G17" s="117" t="s">
        <v>380</v>
      </c>
    </row>
    <row r="18" spans="1:7" ht="185.4">
      <c r="A18" s="115" t="s">
        <v>58</v>
      </c>
      <c r="B18" s="116" t="s">
        <v>60</v>
      </c>
      <c r="C18" s="117" t="s">
        <v>380</v>
      </c>
      <c r="D18" s="118" t="s">
        <v>390</v>
      </c>
      <c r="E18" s="126">
        <v>5</v>
      </c>
      <c r="F18" s="118" t="s">
        <v>391</v>
      </c>
      <c r="G18" s="117" t="s">
        <v>303</v>
      </c>
    </row>
    <row r="19" spans="1:7" ht="251.4">
      <c r="A19" s="115" t="s">
        <v>61</v>
      </c>
      <c r="B19" s="116" t="s">
        <v>62</v>
      </c>
      <c r="C19" s="117" t="s">
        <v>380</v>
      </c>
      <c r="D19" s="122" t="s">
        <v>429</v>
      </c>
      <c r="E19" s="117" t="s">
        <v>394</v>
      </c>
      <c r="F19" s="118" t="s">
        <v>394</v>
      </c>
      <c r="G19" s="117" t="s">
        <v>380</v>
      </c>
    </row>
    <row r="20" spans="1:7" ht="159">
      <c r="A20" s="115" t="s">
        <v>61</v>
      </c>
      <c r="B20" s="116" t="s">
        <v>63</v>
      </c>
      <c r="C20" s="117" t="s">
        <v>380</v>
      </c>
      <c r="D20" s="122" t="s">
        <v>430</v>
      </c>
      <c r="E20" s="117" t="s">
        <v>394</v>
      </c>
      <c r="F20" s="118" t="s">
        <v>394</v>
      </c>
      <c r="G20" s="117" t="s">
        <v>393</v>
      </c>
    </row>
    <row r="21" spans="1:7" ht="106.2">
      <c r="A21" s="115" t="s">
        <v>61</v>
      </c>
      <c r="B21" s="116" t="s">
        <v>64</v>
      </c>
      <c r="C21" s="117" t="s">
        <v>380</v>
      </c>
      <c r="D21" s="118" t="s">
        <v>394</v>
      </c>
      <c r="E21" s="117" t="s">
        <v>394</v>
      </c>
      <c r="F21" s="118" t="s">
        <v>394</v>
      </c>
      <c r="G21" s="117" t="s">
        <v>303</v>
      </c>
    </row>
    <row r="22" spans="1:7" ht="119.4">
      <c r="A22" s="115" t="s">
        <v>65</v>
      </c>
      <c r="B22" s="116" t="s">
        <v>66</v>
      </c>
      <c r="C22" s="117" t="s">
        <v>380</v>
      </c>
      <c r="D22" s="117" t="s">
        <v>394</v>
      </c>
      <c r="E22" s="117" t="s">
        <v>394</v>
      </c>
      <c r="F22" s="117" t="s">
        <v>394</v>
      </c>
      <c r="G22" s="117" t="s">
        <v>303</v>
      </c>
    </row>
    <row r="23" spans="1:7" ht="106.2">
      <c r="A23" s="115" t="s">
        <v>65</v>
      </c>
      <c r="B23" s="116" t="s">
        <v>67</v>
      </c>
      <c r="C23" s="117" t="s">
        <v>380</v>
      </c>
      <c r="D23" s="117" t="s">
        <v>394</v>
      </c>
      <c r="E23" s="117" t="s">
        <v>394</v>
      </c>
      <c r="F23" s="117" t="s">
        <v>394</v>
      </c>
      <c r="G23" s="117" t="s">
        <v>303</v>
      </c>
    </row>
    <row r="24" spans="1:7" ht="172.2">
      <c r="A24" s="115" t="s">
        <v>36</v>
      </c>
      <c r="B24" s="116" t="s">
        <v>68</v>
      </c>
      <c r="C24" s="117" t="s">
        <v>431</v>
      </c>
      <c r="D24" s="119" t="s">
        <v>432</v>
      </c>
      <c r="E24" s="120" t="s">
        <v>433</v>
      </c>
      <c r="F24" s="123" t="s">
        <v>434</v>
      </c>
      <c r="G24" s="117" t="s">
        <v>380</v>
      </c>
    </row>
    <row r="25" spans="1:7" ht="225">
      <c r="A25" s="115" t="s">
        <v>36</v>
      </c>
      <c r="B25" s="116" t="s">
        <v>69</v>
      </c>
      <c r="C25" s="117" t="s">
        <v>380</v>
      </c>
      <c r="D25" s="119" t="s">
        <v>436</v>
      </c>
      <c r="E25" s="120" t="s">
        <v>437</v>
      </c>
      <c r="F25" s="118" t="s">
        <v>438</v>
      </c>
      <c r="G25" s="117" t="s">
        <v>380</v>
      </c>
    </row>
    <row r="26" spans="1:7" ht="264.6">
      <c r="A26" s="115" t="s">
        <v>36</v>
      </c>
      <c r="B26" s="116" t="s">
        <v>70</v>
      </c>
      <c r="C26" s="117" t="s">
        <v>380</v>
      </c>
      <c r="D26" s="117" t="s">
        <v>394</v>
      </c>
      <c r="E26" s="117" t="s">
        <v>394</v>
      </c>
      <c r="F26" s="117" t="s">
        <v>394</v>
      </c>
      <c r="G26" s="117" t="s">
        <v>303</v>
      </c>
    </row>
    <row r="27" spans="1:7" ht="159">
      <c r="A27" s="115" t="s">
        <v>36</v>
      </c>
      <c r="B27" s="116" t="s">
        <v>71</v>
      </c>
      <c r="C27" s="117" t="s">
        <v>380</v>
      </c>
      <c r="D27" s="124" t="s">
        <v>442</v>
      </c>
      <c r="E27" s="117" t="s">
        <v>394</v>
      </c>
      <c r="F27" s="117" t="s">
        <v>394</v>
      </c>
      <c r="G27" s="117" t="s">
        <v>303</v>
      </c>
    </row>
    <row r="28" spans="1:7" ht="79.8">
      <c r="A28" s="115" t="s">
        <v>36</v>
      </c>
      <c r="B28" s="116" t="s">
        <v>72</v>
      </c>
      <c r="C28" s="117" t="s">
        <v>380</v>
      </c>
      <c r="D28" s="118" t="s">
        <v>444</v>
      </c>
      <c r="E28" s="126" t="s">
        <v>445</v>
      </c>
      <c r="F28" s="117" t="s">
        <v>394</v>
      </c>
      <c r="G28" s="117" t="s">
        <v>393</v>
      </c>
    </row>
    <row r="29" spans="1:7" ht="119.4">
      <c r="A29" s="115" t="s">
        <v>36</v>
      </c>
      <c r="B29" s="116" t="s">
        <v>73</v>
      </c>
      <c r="C29" s="117" t="s">
        <v>380</v>
      </c>
      <c r="D29" s="118" t="s">
        <v>439</v>
      </c>
      <c r="E29" s="117" t="s">
        <v>394</v>
      </c>
      <c r="F29" s="117" t="s">
        <v>394</v>
      </c>
      <c r="G29" s="117" t="s">
        <v>440</v>
      </c>
    </row>
    <row r="30" spans="1:7" ht="72">
      <c r="A30" s="127" t="s">
        <v>75</v>
      </c>
      <c r="B30" s="116" t="s">
        <v>76</v>
      </c>
      <c r="C30" s="117" t="s">
        <v>380</v>
      </c>
      <c r="D30" s="117" t="s">
        <v>425</v>
      </c>
      <c r="E30" s="117" t="s">
        <v>394</v>
      </c>
      <c r="F30" s="117" t="s">
        <v>394</v>
      </c>
      <c r="G30" s="117" t="s">
        <v>303</v>
      </c>
    </row>
    <row r="31" spans="1:7" ht="93">
      <c r="A31" s="115" t="s">
        <v>65</v>
      </c>
      <c r="B31" s="116" t="s">
        <v>77</v>
      </c>
      <c r="C31" s="117" t="s">
        <v>380</v>
      </c>
      <c r="D31" s="118" t="s">
        <v>427</v>
      </c>
      <c r="E31" s="117" t="s">
        <v>394</v>
      </c>
      <c r="F31" s="117" t="s">
        <v>394</v>
      </c>
      <c r="G31" s="117" t="s">
        <v>393</v>
      </c>
    </row>
    <row r="32" spans="1:7" ht="132.6">
      <c r="A32" s="115" t="s">
        <v>65</v>
      </c>
      <c r="B32" s="116" t="s">
        <v>78</v>
      </c>
      <c r="C32" s="117" t="s">
        <v>380</v>
      </c>
      <c r="D32" s="124" t="s">
        <v>426</v>
      </c>
      <c r="E32" s="117" t="s">
        <v>394</v>
      </c>
      <c r="F32" s="117" t="s">
        <v>394</v>
      </c>
      <c r="G32" s="117" t="s">
        <v>380</v>
      </c>
    </row>
    <row r="33" spans="1:7" ht="106.2">
      <c r="A33" s="115" t="s">
        <v>80</v>
      </c>
      <c r="B33" s="116" t="s">
        <v>81</v>
      </c>
      <c r="C33" s="117" t="s">
        <v>380</v>
      </c>
      <c r="D33" s="117" t="s">
        <v>394</v>
      </c>
      <c r="E33" s="120">
        <v>33</v>
      </c>
      <c r="F33" s="117" t="s">
        <v>394</v>
      </c>
      <c r="G33" s="117"/>
    </row>
    <row r="34" spans="1:7" ht="159">
      <c r="A34" s="115" t="s">
        <v>61</v>
      </c>
      <c r="B34" s="116" t="s">
        <v>84</v>
      </c>
      <c r="C34" s="117" t="s">
        <v>380</v>
      </c>
      <c r="D34" s="117" t="s">
        <v>394</v>
      </c>
      <c r="E34" s="117" t="s">
        <v>394</v>
      </c>
      <c r="F34" s="117" t="s">
        <v>394</v>
      </c>
      <c r="G34" s="117" t="s">
        <v>303</v>
      </c>
    </row>
    <row r="35" spans="1:7" ht="172.2">
      <c r="A35" s="115" t="s">
        <v>61</v>
      </c>
      <c r="B35" s="116" t="s">
        <v>85</v>
      </c>
      <c r="C35" s="117" t="s">
        <v>380</v>
      </c>
      <c r="D35" s="117" t="s">
        <v>394</v>
      </c>
      <c r="E35" s="117" t="s">
        <v>394</v>
      </c>
      <c r="F35" s="117" t="s">
        <v>394</v>
      </c>
      <c r="G35" s="117" t="s">
        <v>394</v>
      </c>
    </row>
    <row r="36" spans="1:7" ht="106.2">
      <c r="A36" s="115" t="s">
        <v>86</v>
      </c>
      <c r="B36" s="116" t="s">
        <v>87</v>
      </c>
      <c r="C36" s="117" t="s">
        <v>380</v>
      </c>
      <c r="D36" s="117" t="s">
        <v>394</v>
      </c>
      <c r="E36" s="117" t="s">
        <v>394</v>
      </c>
      <c r="F36" s="117" t="s">
        <v>394</v>
      </c>
      <c r="G36" s="117" t="s">
        <v>303</v>
      </c>
    </row>
    <row r="37" spans="1:7" ht="93">
      <c r="A37" s="115" t="s">
        <v>86</v>
      </c>
      <c r="B37" s="116" t="s">
        <v>90</v>
      </c>
      <c r="C37" s="117" t="s">
        <v>380</v>
      </c>
      <c r="D37" s="117" t="s">
        <v>394</v>
      </c>
      <c r="E37" s="117" t="s">
        <v>394</v>
      </c>
      <c r="F37" s="117" t="s">
        <v>394</v>
      </c>
      <c r="G37" s="117" t="s">
        <v>303</v>
      </c>
    </row>
    <row r="38" spans="1:7" ht="93">
      <c r="A38" s="115" t="s">
        <v>86</v>
      </c>
      <c r="B38" s="116" t="s">
        <v>91</v>
      </c>
      <c r="C38" s="117" t="s">
        <v>380</v>
      </c>
      <c r="D38" s="117" t="s">
        <v>394</v>
      </c>
      <c r="E38" s="117" t="s">
        <v>394</v>
      </c>
      <c r="F38" s="117" t="s">
        <v>394</v>
      </c>
      <c r="G38" s="117" t="s">
        <v>303</v>
      </c>
    </row>
    <row r="39" spans="1:7" ht="93">
      <c r="A39" s="115" t="s">
        <v>92</v>
      </c>
      <c r="B39" s="116" t="s">
        <v>93</v>
      </c>
      <c r="C39" s="117" t="s">
        <v>380</v>
      </c>
      <c r="D39" s="117" t="s">
        <v>394</v>
      </c>
      <c r="E39" s="117" t="s">
        <v>394</v>
      </c>
      <c r="F39" s="117" t="s">
        <v>394</v>
      </c>
      <c r="G39" s="117" t="s">
        <v>303</v>
      </c>
    </row>
    <row r="40" spans="1:7" ht="159">
      <c r="A40" s="115" t="s">
        <v>94</v>
      </c>
      <c r="B40" s="116" t="s">
        <v>95</v>
      </c>
      <c r="C40" s="117" t="s">
        <v>380</v>
      </c>
      <c r="D40" s="118" t="s">
        <v>403</v>
      </c>
      <c r="E40" s="117" t="s">
        <v>394</v>
      </c>
      <c r="F40" s="117" t="s">
        <v>394</v>
      </c>
      <c r="G40" s="117" t="s">
        <v>393</v>
      </c>
    </row>
    <row r="41" spans="1:7" ht="132.6">
      <c r="A41" s="115" t="s">
        <v>58</v>
      </c>
      <c r="B41" s="116" t="s">
        <v>98</v>
      </c>
      <c r="C41" s="117" t="s">
        <v>380</v>
      </c>
      <c r="D41" s="117" t="s">
        <v>394</v>
      </c>
      <c r="E41" s="126">
        <v>7</v>
      </c>
      <c r="F41" s="117" t="s">
        <v>394</v>
      </c>
      <c r="G41" s="117" t="s">
        <v>303</v>
      </c>
    </row>
    <row r="42" spans="1:7" ht="119.4">
      <c r="A42" s="115" t="s">
        <v>61</v>
      </c>
      <c r="B42" s="116" t="s">
        <v>99</v>
      </c>
      <c r="C42" s="117" t="s">
        <v>380</v>
      </c>
      <c r="D42" s="117" t="s">
        <v>394</v>
      </c>
      <c r="E42" s="117" t="s">
        <v>394</v>
      </c>
      <c r="F42" s="117" t="s">
        <v>394</v>
      </c>
      <c r="G42" s="117" t="s">
        <v>303</v>
      </c>
    </row>
    <row r="43" spans="1:7" ht="93">
      <c r="A43" s="127" t="s">
        <v>100</v>
      </c>
      <c r="B43" s="116" t="s">
        <v>101</v>
      </c>
      <c r="C43" s="117" t="s">
        <v>380</v>
      </c>
      <c r="D43" s="117" t="s">
        <v>424</v>
      </c>
      <c r="E43" s="117" t="s">
        <v>394</v>
      </c>
      <c r="F43" s="117" t="s">
        <v>394</v>
      </c>
      <c r="G43" s="117" t="s">
        <v>380</v>
      </c>
    </row>
    <row r="44" spans="1:7" ht="211.8">
      <c r="A44" s="115" t="s">
        <v>61</v>
      </c>
      <c r="B44" s="116" t="s">
        <v>103</v>
      </c>
      <c r="C44" s="117" t="s">
        <v>380</v>
      </c>
      <c r="D44" s="117" t="s">
        <v>394</v>
      </c>
      <c r="E44" s="117" t="s">
        <v>394</v>
      </c>
      <c r="F44" s="117" t="s">
        <v>394</v>
      </c>
      <c r="G44" s="117" t="s">
        <v>303</v>
      </c>
    </row>
    <row r="45" spans="1:7" ht="66.6">
      <c r="A45" s="115" t="s">
        <v>347</v>
      </c>
      <c r="B45" s="116" t="s">
        <v>348</v>
      </c>
      <c r="C45" s="117" t="s">
        <v>380</v>
      </c>
      <c r="D45" s="118" t="s">
        <v>441</v>
      </c>
      <c r="E45" s="117" t="s">
        <v>394</v>
      </c>
      <c r="F45" s="117" t="s">
        <v>394</v>
      </c>
      <c r="G45" s="117" t="s">
        <v>303</v>
      </c>
    </row>
    <row r="46" spans="1:7" ht="15.75">
      <c r="A46" s="117"/>
      <c r="B46" s="117"/>
      <c r="C46" s="117"/>
      <c r="D46" s="117"/>
      <c r="E46" s="117"/>
      <c r="F46" s="117"/>
      <c r="G46" s="117"/>
    </row>
  </sheetData>
  <sheetProtection sheet="1" objects="1" scenarios="1"/>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AEB3905992E54BBAD901A47ED1CA8C" ma:contentTypeVersion="11" ma:contentTypeDescription="Create a new document." ma:contentTypeScope="" ma:versionID="c331a7cf57c912513119c9f053ed9cba">
  <xsd:schema xmlns:xsd="http://www.w3.org/2001/XMLSchema" xmlns:xs="http://www.w3.org/2001/XMLSchema" xmlns:p="http://schemas.microsoft.com/office/2006/metadata/properties" xmlns:ns2="1c66cb88-db77-4d42-9dc4-fb37066edc24" xmlns:ns3="7cf861dc-a431-4ef3-8baf-d03d54e74a07" targetNamespace="http://schemas.microsoft.com/office/2006/metadata/properties" ma:root="true" ma:fieldsID="cb960730ac3bbc728fcf90f5c040f55b" ns2:_="" ns3:_="">
    <xsd:import namespace="1c66cb88-db77-4d42-9dc4-fb37066edc24"/>
    <xsd:import namespace="7cf861dc-a431-4ef3-8baf-d03d54e74a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66cb88-db77-4d42-9dc4-fb37066edc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f861dc-a431-4ef3-8baf-d03d54e74a0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F9B43F-019E-4A42-8983-6912475A14D3}"/>
</file>

<file path=customXml/itemProps2.xml><?xml version="1.0" encoding="utf-8"?>
<ds:datastoreItem xmlns:ds="http://schemas.openxmlformats.org/officeDocument/2006/customXml" ds:itemID="{7AD08184-5FA2-457F-84E1-69B1BBA25D40}"/>
</file>

<file path=customXml/itemProps3.xml><?xml version="1.0" encoding="utf-8"?>
<ds:datastoreItem xmlns:ds="http://schemas.openxmlformats.org/officeDocument/2006/customXml" ds:itemID="{EF924F54-FAC7-4429-9BB5-CC5D70C5BDFB}"/>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Leeds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Cocco</dc:creator>
  <cp:keywords/>
  <dc:description/>
  <cp:lastModifiedBy>Paola Cocco</cp:lastModifiedBy>
  <dcterms:created xsi:type="dcterms:W3CDTF">2019-01-10T13:42:43Z</dcterms:created>
  <dcterms:modified xsi:type="dcterms:W3CDTF">2022-07-07T13:56:49Z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0x01010068AEB3905992E54BBAD901A47ED1CA8C</vt:lpwstr>
  </property>
</Properties>
</file>