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19"/>
  <workbookPr codeName="ThisWorkbook"/>
  <mc:AlternateContent xmlns:mc="http://schemas.openxmlformats.org/markup-compatibility/2006">
    <mc:Choice Requires="x15">
      <x15ac:absPath xmlns:x15ac="http://schemas.microsoft.com/office/spreadsheetml/2010/11/ac" url="C:\Users\cenbee\OneDrive - University of Leeds\a publications\GHG Calculator\Feb 17th final submission\"/>
    </mc:Choice>
  </mc:AlternateContent>
  <xr:revisionPtr revIDLastSave="0" documentId="11_FAC5FB7F0051729CBE5C7788702D3F5E594F3C14" xr6:coauthVersionLast="47" xr6:coauthVersionMax="47" xr10:uidLastSave="{00000000-0000-0000-0000-000000000000}"/>
  <bookViews>
    <workbookView xWindow="0" yWindow="0" windowWidth="19200" windowHeight="6090" xr2:uid="{00000000-000D-0000-FFFF-FFFF00000000}"/>
  </bookViews>
  <sheets>
    <sheet name="Basic Data Input" sheetId="1" r:id="rId1"/>
    <sheet name="End to end calculation" sheetId="16" r:id="rId2"/>
    <sheet name="Graphs" sheetId="17" r:id="rId3"/>
    <sheet name="Containment Systems" sheetId="4" r:id="rId4"/>
    <sheet name="Containment MCF EF" sheetId="5" r:id="rId5"/>
    <sheet name="Containment CH4 Direct" sheetId="9" r:id="rId6"/>
    <sheet name="Containment NO2 Direct" sheetId="15" r:id="rId7"/>
    <sheet name="Containment embedded carbon" sheetId="11" r:id="rId8"/>
    <sheet name="Transport Operation" sheetId="12" r:id="rId9"/>
    <sheet name="Transport embedded carbon" sheetId="13" r:id="rId10"/>
    <sheet name="WW and FSM data" sheetId="2" r:id="rId11"/>
    <sheet name="WW FS Direct CH4" sheetId="3" state="hidden" r:id="rId12"/>
    <sheet name="WW FS Direct CH4 Lubigi" sheetId="19" r:id="rId13"/>
    <sheet name="WW FS Direct CH4 Bugo" sheetId="18" r:id="rId14"/>
    <sheet name="WW FS Direct NO2" sheetId="14" r:id="rId15"/>
    <sheet name="WW FS Operation" sheetId="7" r:id="rId16"/>
    <sheet name="WW FS Embedded carbon" sheetId="8"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 r="F6" i="12"/>
  <c r="F5" i="12"/>
  <c r="F4" i="12"/>
  <c r="I4" i="2"/>
  <c r="I3" i="2"/>
  <c r="D21" i="9"/>
  <c r="Y3" i="2"/>
  <c r="W3" i="2"/>
  <c r="H19" i="5"/>
  <c r="H18" i="5"/>
  <c r="H17" i="5"/>
  <c r="H16" i="5"/>
  <c r="H15" i="5"/>
  <c r="H14" i="5"/>
  <c r="H13" i="5"/>
  <c r="H12" i="5"/>
  <c r="H11" i="5"/>
  <c r="H10" i="5"/>
  <c r="H9" i="5"/>
  <c r="H8" i="5"/>
  <c r="H7" i="5"/>
  <c r="H6" i="5"/>
  <c r="H5" i="5"/>
  <c r="H4" i="5"/>
  <c r="Z19" i="5"/>
  <c r="Y19" i="5"/>
  <c r="X19" i="5"/>
  <c r="W19" i="5"/>
  <c r="Z18" i="5"/>
  <c r="Y18" i="5"/>
  <c r="X18" i="5"/>
  <c r="W18" i="5"/>
  <c r="Z17" i="5"/>
  <c r="Y17" i="5"/>
  <c r="X17" i="5"/>
  <c r="W17" i="5"/>
  <c r="Z16" i="5"/>
  <c r="Y16" i="5"/>
  <c r="X16" i="5"/>
  <c r="W16" i="5"/>
  <c r="Z15" i="5"/>
  <c r="Y15" i="5"/>
  <c r="X15" i="5"/>
  <c r="W15" i="5"/>
  <c r="Z14" i="5"/>
  <c r="Y14" i="5"/>
  <c r="X14" i="5"/>
  <c r="W14" i="5"/>
  <c r="Z13" i="5"/>
  <c r="Y13" i="5"/>
  <c r="X13" i="5"/>
  <c r="W13" i="5"/>
  <c r="Z12" i="5"/>
  <c r="Y12" i="5"/>
  <c r="X12" i="5"/>
  <c r="W12" i="5"/>
  <c r="Z11" i="5"/>
  <c r="Y11" i="5"/>
  <c r="X11" i="5"/>
  <c r="W11" i="5"/>
  <c r="Z10" i="5"/>
  <c r="Y10" i="5"/>
  <c r="X10" i="5"/>
  <c r="W10" i="5"/>
  <c r="Z9" i="5"/>
  <c r="Y9" i="5"/>
  <c r="X9" i="5"/>
  <c r="W9" i="5"/>
  <c r="Z8" i="5"/>
  <c r="Y8" i="5"/>
  <c r="X8" i="5"/>
  <c r="W8" i="5"/>
  <c r="Z7" i="5"/>
  <c r="Y7" i="5"/>
  <c r="X7" i="5"/>
  <c r="W7" i="5"/>
  <c r="Z6" i="5"/>
  <c r="Y6" i="5"/>
  <c r="X6" i="5"/>
  <c r="W6" i="5"/>
  <c r="Z5" i="5"/>
  <c r="Y5" i="5"/>
  <c r="X5" i="5"/>
  <c r="W5" i="5"/>
  <c r="Z4" i="5"/>
  <c r="Y4" i="5"/>
  <c r="X4" i="5"/>
  <c r="W4" i="5"/>
  <c r="D19" i="5"/>
  <c r="D18" i="5"/>
  <c r="D17" i="5"/>
  <c r="D16" i="5"/>
  <c r="D15" i="5"/>
  <c r="D14" i="5"/>
  <c r="D13" i="5"/>
  <c r="D12" i="5"/>
  <c r="D11" i="5"/>
  <c r="D10" i="5"/>
  <c r="D9" i="5"/>
  <c r="D8" i="5"/>
  <c r="D7" i="5"/>
  <c r="D6" i="5"/>
  <c r="D5" i="5"/>
  <c r="D4" i="5"/>
  <c r="T19" i="5"/>
  <c r="S19" i="5"/>
  <c r="T18" i="5"/>
  <c r="S18" i="5"/>
  <c r="T17" i="5"/>
  <c r="S17" i="5"/>
  <c r="T16" i="5"/>
  <c r="S16" i="5"/>
  <c r="T15" i="5"/>
  <c r="S15" i="5"/>
  <c r="T14" i="5"/>
  <c r="S14" i="5"/>
  <c r="T13" i="5"/>
  <c r="S13" i="5"/>
  <c r="T12" i="5"/>
  <c r="S12" i="5"/>
  <c r="T11" i="5"/>
  <c r="S11" i="5"/>
  <c r="T10" i="5"/>
  <c r="S10" i="5"/>
  <c r="T9" i="5"/>
  <c r="S9" i="5"/>
  <c r="T8" i="5"/>
  <c r="S8" i="5"/>
  <c r="T7" i="5"/>
  <c r="S7" i="5"/>
  <c r="T6" i="5"/>
  <c r="S6" i="5"/>
  <c r="T5" i="5"/>
  <c r="S5" i="5"/>
  <c r="T4" i="5"/>
  <c r="S4" i="5"/>
  <c r="R19" i="5"/>
  <c r="Q19" i="5"/>
  <c r="R18" i="5"/>
  <c r="Q18" i="5"/>
  <c r="R17" i="5"/>
  <c r="Q17" i="5"/>
  <c r="R16" i="5"/>
  <c r="Q16" i="5"/>
  <c r="R15" i="5"/>
  <c r="Q15" i="5"/>
  <c r="R14" i="5"/>
  <c r="Q14" i="5"/>
  <c r="R13" i="5"/>
  <c r="Q13" i="5"/>
  <c r="R12" i="5"/>
  <c r="Q12" i="5"/>
  <c r="R11" i="5"/>
  <c r="Q11" i="5"/>
  <c r="R10" i="5"/>
  <c r="Q10" i="5"/>
  <c r="R9" i="5"/>
  <c r="Q9" i="5"/>
  <c r="R8" i="5"/>
  <c r="Q8" i="5"/>
  <c r="R7" i="5"/>
  <c r="Q7" i="5"/>
  <c r="R6" i="5"/>
  <c r="Q6" i="5"/>
  <c r="R5" i="5"/>
  <c r="Q5" i="5"/>
  <c r="R4" i="5"/>
  <c r="Q4" i="5"/>
  <c r="I178" i="16"/>
  <c r="I176" i="16"/>
  <c r="G176" i="16"/>
  <c r="G173" i="16"/>
  <c r="E177" i="16"/>
  <c r="E176" i="16"/>
  <c r="E175" i="16"/>
  <c r="E174" i="16"/>
  <c r="E173" i="16"/>
  <c r="I171" i="16"/>
  <c r="I169" i="16"/>
  <c r="I168" i="16"/>
  <c r="G170" i="16"/>
  <c r="G169" i="16"/>
  <c r="G166" i="16"/>
  <c r="E169" i="16"/>
  <c r="E168" i="16"/>
  <c r="K195" i="16"/>
  <c r="K178" i="16" s="1"/>
  <c r="K194" i="16"/>
  <c r="K193" i="16"/>
  <c r="K176" i="16" s="1"/>
  <c r="K192" i="16"/>
  <c r="K191" i="16"/>
  <c r="K190" i="16"/>
  <c r="L192" i="16" s="1"/>
  <c r="K188" i="16"/>
  <c r="K171" i="16" s="1"/>
  <c r="K187" i="16"/>
  <c r="K186" i="16"/>
  <c r="K169" i="16" s="1"/>
  <c r="K185" i="16"/>
  <c r="K184" i="16"/>
  <c r="K183" i="16"/>
  <c r="L185" i="16" s="1"/>
  <c r="E155" i="16"/>
  <c r="Q14" i="1"/>
  <c r="M189" i="16" l="1"/>
  <c r="C127" i="16"/>
  <c r="C128" i="16"/>
  <c r="C131" i="16"/>
  <c r="C132" i="16"/>
  <c r="C133" i="16"/>
  <c r="C134" i="16"/>
  <c r="C126" i="16"/>
  <c r="M14" i="5" l="1"/>
  <c r="M15" i="5"/>
  <c r="M5" i="5"/>
  <c r="N5" i="5"/>
  <c r="M6" i="5"/>
  <c r="N6" i="5"/>
  <c r="M7" i="5"/>
  <c r="N7" i="5"/>
  <c r="N9" i="5" s="1"/>
  <c r="M8" i="5"/>
  <c r="N8" i="5"/>
  <c r="N10" i="5" s="1"/>
  <c r="M9" i="5"/>
  <c r="M10" i="5"/>
  <c r="M11" i="5"/>
  <c r="N11" i="5"/>
  <c r="M12" i="5"/>
  <c r="N12" i="5"/>
  <c r="M13" i="5"/>
  <c r="N13" i="5"/>
  <c r="N14" i="5"/>
  <c r="N15" i="5"/>
  <c r="M16" i="5"/>
  <c r="N16" i="5"/>
  <c r="M17" i="5"/>
  <c r="N17" i="5"/>
  <c r="M18" i="5"/>
  <c r="N18" i="5"/>
  <c r="M19" i="5"/>
  <c r="N19" i="5"/>
  <c r="N4" i="5"/>
  <c r="M4" i="5"/>
  <c r="E74" i="16" l="1"/>
  <c r="E90" i="16" s="1"/>
  <c r="E151" i="16" s="1"/>
  <c r="G74" i="16"/>
  <c r="G90" i="16" s="1"/>
  <c r="G151" i="16" s="1"/>
  <c r="I74" i="16"/>
  <c r="I90" i="16" s="1"/>
  <c r="E75" i="16"/>
  <c r="E91" i="16" s="1"/>
  <c r="G75" i="16"/>
  <c r="G91" i="16" s="1"/>
  <c r="I75" i="16"/>
  <c r="I91" i="16" s="1"/>
  <c r="I153" i="16" s="1"/>
  <c r="K153" i="16" s="1"/>
  <c r="E79" i="16"/>
  <c r="E80" i="16"/>
  <c r="E81" i="16"/>
  <c r="E96" i="16" s="1"/>
  <c r="E158" i="16" s="1"/>
  <c r="G81" i="16"/>
  <c r="G96" i="16" s="1"/>
  <c r="G158" i="16" s="1"/>
  <c r="I81" i="16"/>
  <c r="I96" i="16" s="1"/>
  <c r="I158" i="16" s="1"/>
  <c r="E82" i="16"/>
  <c r="E97" i="16" s="1"/>
  <c r="G82" i="16"/>
  <c r="G97" i="16" s="1"/>
  <c r="I82" i="16"/>
  <c r="I97" i="16" s="1"/>
  <c r="I160" i="16" s="1"/>
  <c r="K160" i="16" s="1"/>
  <c r="D82" i="16"/>
  <c r="D97" i="16" s="1"/>
  <c r="E159" i="16" s="1"/>
  <c r="D81" i="16"/>
  <c r="D96" i="16" s="1"/>
  <c r="E157" i="16" s="1"/>
  <c r="D80" i="16"/>
  <c r="D79" i="16"/>
  <c r="K158" i="16" l="1"/>
  <c r="K151" i="16"/>
  <c r="E83" i="16"/>
  <c r="D83" i="16"/>
  <c r="D109" i="16"/>
  <c r="D121" i="16" s="1"/>
  <c r="E110" i="16"/>
  <c r="E122" i="16" s="1"/>
  <c r="E104" i="16"/>
  <c r="E116" i="16" s="1"/>
  <c r="D110" i="16"/>
  <c r="D122" i="16" s="1"/>
  <c r="I109" i="16"/>
  <c r="I121" i="16" s="1"/>
  <c r="E95" i="16"/>
  <c r="E156" i="16" s="1"/>
  <c r="I103" i="16"/>
  <c r="I115" i="16" s="1"/>
  <c r="I110" i="16"/>
  <c r="I122" i="16" s="1"/>
  <c r="G109" i="16"/>
  <c r="G121" i="16" s="1"/>
  <c r="I104" i="16"/>
  <c r="I116" i="16" s="1"/>
  <c r="G103" i="16"/>
  <c r="G115" i="16" s="1"/>
  <c r="G110" i="16"/>
  <c r="G122" i="16" s="1"/>
  <c r="E109" i="16"/>
  <c r="E121" i="16" s="1"/>
  <c r="G104" i="16"/>
  <c r="G116" i="16" s="1"/>
  <c r="E103" i="16"/>
  <c r="E115" i="16" s="1"/>
  <c r="Q19" i="1"/>
  <c r="T19" i="1" s="1"/>
  <c r="I22" i="5"/>
  <c r="E22" i="5"/>
  <c r="L5" i="1"/>
  <c r="D1" i="19" l="1"/>
  <c r="B3" i="16"/>
  <c r="U19" i="1"/>
  <c r="D108" i="16"/>
  <c r="D120" i="16" s="1"/>
  <c r="E108" i="16"/>
  <c r="E120" i="16" s="1"/>
  <c r="D1" i="18"/>
  <c r="B30" i="12"/>
  <c r="C30" i="12"/>
  <c r="D28" i="12"/>
  <c r="F24" i="14"/>
  <c r="E24" i="14" s="1"/>
  <c r="F25" i="14"/>
  <c r="G25" i="14" s="1"/>
  <c r="F26" i="14"/>
  <c r="G26" i="14" s="1"/>
  <c r="F27" i="14"/>
  <c r="E27" i="14" s="1"/>
  <c r="F28" i="14"/>
  <c r="E28" i="14" s="1"/>
  <c r="F23" i="14"/>
  <c r="G23" i="14" s="1"/>
  <c r="F6" i="14"/>
  <c r="E6" i="14" s="1"/>
  <c r="F7" i="14"/>
  <c r="E7" i="14" s="1"/>
  <c r="F8" i="14"/>
  <c r="E8" i="14" s="1"/>
  <c r="I9" i="14"/>
  <c r="L9" i="14" s="1"/>
  <c r="O9" i="14" s="1"/>
  <c r="C8" i="18"/>
  <c r="I31" i="19"/>
  <c r="H31" i="19"/>
  <c r="G31" i="19"/>
  <c r="F31" i="19"/>
  <c r="E31" i="19"/>
  <c r="C31" i="19"/>
  <c r="B31" i="19"/>
  <c r="I30" i="19"/>
  <c r="H30" i="19"/>
  <c r="G30" i="19"/>
  <c r="F30" i="19"/>
  <c r="E30" i="19"/>
  <c r="C30" i="19"/>
  <c r="B30" i="19"/>
  <c r="I29" i="19"/>
  <c r="H29" i="19"/>
  <c r="G29" i="19"/>
  <c r="F29" i="19"/>
  <c r="E29" i="19"/>
  <c r="C29" i="19"/>
  <c r="B29" i="19"/>
  <c r="I28" i="19"/>
  <c r="H28" i="19"/>
  <c r="G28" i="19"/>
  <c r="F28" i="19"/>
  <c r="E28" i="19"/>
  <c r="C28" i="19"/>
  <c r="B28" i="19"/>
  <c r="I27" i="19"/>
  <c r="H27" i="19"/>
  <c r="G27" i="19"/>
  <c r="F27" i="19"/>
  <c r="E27" i="19"/>
  <c r="C27" i="19"/>
  <c r="B27" i="19"/>
  <c r="I26" i="19"/>
  <c r="H26" i="19"/>
  <c r="G26" i="19"/>
  <c r="F26" i="19"/>
  <c r="E26" i="19"/>
  <c r="I25" i="19"/>
  <c r="H25" i="19"/>
  <c r="G25" i="19"/>
  <c r="F25" i="19"/>
  <c r="E25" i="19"/>
  <c r="I24" i="19"/>
  <c r="H24" i="19"/>
  <c r="F24" i="19"/>
  <c r="E24" i="19"/>
  <c r="D20" i="19"/>
  <c r="B24" i="19" s="1"/>
  <c r="I13" i="19"/>
  <c r="H13" i="19"/>
  <c r="G13" i="19"/>
  <c r="F13" i="19"/>
  <c r="E13" i="19"/>
  <c r="C13" i="19"/>
  <c r="B13" i="19"/>
  <c r="I12" i="19"/>
  <c r="H12" i="19"/>
  <c r="G12" i="19"/>
  <c r="F12" i="19"/>
  <c r="E12" i="19"/>
  <c r="C12" i="19"/>
  <c r="B12" i="19"/>
  <c r="I11" i="19"/>
  <c r="H11" i="19"/>
  <c r="G11" i="19"/>
  <c r="F11" i="19"/>
  <c r="E11" i="19"/>
  <c r="C11" i="19"/>
  <c r="B11" i="19"/>
  <c r="I10" i="19"/>
  <c r="H10" i="19"/>
  <c r="G10" i="19"/>
  <c r="F10" i="19"/>
  <c r="E10" i="19"/>
  <c r="C10" i="19"/>
  <c r="B10" i="19"/>
  <c r="I9" i="19"/>
  <c r="H9" i="19"/>
  <c r="G9" i="19"/>
  <c r="F9" i="19"/>
  <c r="E9" i="19"/>
  <c r="C9" i="19"/>
  <c r="B9" i="19"/>
  <c r="N8" i="19"/>
  <c r="I8" i="19"/>
  <c r="H8" i="19"/>
  <c r="G8" i="19"/>
  <c r="F8" i="19"/>
  <c r="E8" i="19"/>
  <c r="I7" i="19"/>
  <c r="H7" i="19"/>
  <c r="G7" i="19"/>
  <c r="F7" i="19"/>
  <c r="E7" i="19"/>
  <c r="I6" i="19"/>
  <c r="H6" i="19"/>
  <c r="G6" i="19"/>
  <c r="F6" i="19"/>
  <c r="E6" i="19"/>
  <c r="D2" i="19"/>
  <c r="B8" i="19" s="1"/>
  <c r="I31" i="18"/>
  <c r="H31" i="18"/>
  <c r="G31" i="18"/>
  <c r="F31" i="18"/>
  <c r="E31" i="18"/>
  <c r="C31" i="18"/>
  <c r="B31" i="18"/>
  <c r="I30" i="18"/>
  <c r="H30" i="18"/>
  <c r="G30" i="18"/>
  <c r="F30" i="18"/>
  <c r="E30" i="18"/>
  <c r="C30" i="18"/>
  <c r="B30" i="18"/>
  <c r="I29" i="18"/>
  <c r="H29" i="18"/>
  <c r="G29" i="18"/>
  <c r="F29" i="18"/>
  <c r="E29" i="18"/>
  <c r="C29" i="18"/>
  <c r="B29" i="18"/>
  <c r="I28" i="18"/>
  <c r="H28" i="18"/>
  <c r="G28" i="18"/>
  <c r="F28" i="18"/>
  <c r="E28" i="18"/>
  <c r="C28" i="18"/>
  <c r="B28" i="18"/>
  <c r="I27" i="18"/>
  <c r="H27" i="18"/>
  <c r="G27" i="18"/>
  <c r="F27" i="18"/>
  <c r="E27" i="18"/>
  <c r="C27" i="18"/>
  <c r="B27" i="18"/>
  <c r="I26" i="18"/>
  <c r="H26" i="18"/>
  <c r="G26" i="18"/>
  <c r="F26" i="18"/>
  <c r="E26" i="18"/>
  <c r="I25" i="18"/>
  <c r="H25" i="18"/>
  <c r="G25" i="18"/>
  <c r="F25" i="18"/>
  <c r="E25" i="18"/>
  <c r="I24" i="18"/>
  <c r="H24" i="18"/>
  <c r="F24" i="18"/>
  <c r="E24" i="18"/>
  <c r="D20" i="18"/>
  <c r="D21" i="18" s="1"/>
  <c r="I13" i="18"/>
  <c r="H13" i="18"/>
  <c r="G13" i="18"/>
  <c r="F13" i="18"/>
  <c r="E13" i="18"/>
  <c r="C13" i="18"/>
  <c r="B13" i="18"/>
  <c r="I12" i="18"/>
  <c r="H12" i="18"/>
  <c r="G12" i="18"/>
  <c r="F12" i="18"/>
  <c r="E12" i="18"/>
  <c r="C12" i="18"/>
  <c r="B12" i="18"/>
  <c r="I11" i="18"/>
  <c r="H11" i="18"/>
  <c r="G11" i="18"/>
  <c r="F11" i="18"/>
  <c r="E11" i="18"/>
  <c r="C11" i="18"/>
  <c r="B11" i="18"/>
  <c r="I10" i="18"/>
  <c r="H10" i="18"/>
  <c r="G10" i="18"/>
  <c r="F10" i="18"/>
  <c r="E10" i="18"/>
  <c r="C10" i="18"/>
  <c r="B10" i="18"/>
  <c r="I9" i="18"/>
  <c r="H9" i="18"/>
  <c r="G9" i="18"/>
  <c r="F9" i="18"/>
  <c r="E9" i="18"/>
  <c r="C9" i="18"/>
  <c r="B9" i="18"/>
  <c r="I8" i="18"/>
  <c r="H8" i="18"/>
  <c r="G8" i="18"/>
  <c r="F8" i="18"/>
  <c r="E8" i="18"/>
  <c r="I7" i="18"/>
  <c r="H7" i="18"/>
  <c r="G7" i="18"/>
  <c r="F7" i="18"/>
  <c r="E7" i="18"/>
  <c r="I6" i="18"/>
  <c r="H6" i="18"/>
  <c r="G6" i="18"/>
  <c r="F6" i="18"/>
  <c r="E6" i="18"/>
  <c r="D2" i="18"/>
  <c r="D3" i="18" s="1"/>
  <c r="D30" i="12" l="1"/>
  <c r="N11" i="19"/>
  <c r="O11" i="19" s="1"/>
  <c r="G8" i="14"/>
  <c r="E26" i="14"/>
  <c r="G28" i="14"/>
  <c r="G24" i="14"/>
  <c r="G7" i="14"/>
  <c r="E23" i="14"/>
  <c r="E25" i="14"/>
  <c r="G27" i="14"/>
  <c r="D32" i="12"/>
  <c r="T7" i="1" s="1"/>
  <c r="G6" i="14"/>
  <c r="P9" i="18"/>
  <c r="P10" i="18"/>
  <c r="P13" i="18"/>
  <c r="H9" i="14"/>
  <c r="K9" i="14" s="1"/>
  <c r="N9" i="14" s="1"/>
  <c r="J9" i="14"/>
  <c r="M9" i="14" s="1"/>
  <c r="P9" i="14" s="1"/>
  <c r="K12" i="18"/>
  <c r="K11" i="18"/>
  <c r="P27" i="19"/>
  <c r="P29" i="19"/>
  <c r="P30" i="19"/>
  <c r="P31" i="19"/>
  <c r="K27" i="18"/>
  <c r="P28" i="18"/>
  <c r="K29" i="18"/>
  <c r="P30" i="18"/>
  <c r="K31" i="18"/>
  <c r="N30" i="19"/>
  <c r="O30" i="19" s="1"/>
  <c r="K27" i="19"/>
  <c r="K28" i="19"/>
  <c r="D3" i="19"/>
  <c r="B24" i="18"/>
  <c r="P24" i="18" s="1"/>
  <c r="B25" i="18" s="1"/>
  <c r="K25" i="18" s="1"/>
  <c r="B6" i="19"/>
  <c r="K6" i="19" s="1"/>
  <c r="P10" i="19"/>
  <c r="P11" i="19"/>
  <c r="P12" i="19"/>
  <c r="K13" i="19"/>
  <c r="K11" i="19"/>
  <c r="K12" i="19"/>
  <c r="N8" i="18"/>
  <c r="N27" i="18"/>
  <c r="O27" i="18" s="1"/>
  <c r="N29" i="19"/>
  <c r="O29" i="19" s="1"/>
  <c r="K30" i="19"/>
  <c r="K31" i="19"/>
  <c r="P28" i="19"/>
  <c r="P9" i="19"/>
  <c r="N10" i="19"/>
  <c r="O10" i="19" s="1"/>
  <c r="K9" i="19"/>
  <c r="P13" i="19"/>
  <c r="P24" i="19"/>
  <c r="B25" i="19" s="1"/>
  <c r="K24" i="19"/>
  <c r="K8" i="19"/>
  <c r="P8" i="19"/>
  <c r="N9" i="19"/>
  <c r="O9" i="19" s="1"/>
  <c r="K10" i="19"/>
  <c r="N13" i="19"/>
  <c r="O13" i="19" s="1"/>
  <c r="D21" i="19"/>
  <c r="N28" i="19"/>
  <c r="O28" i="19" s="1"/>
  <c r="K29" i="19"/>
  <c r="N12" i="19"/>
  <c r="O12" i="19" s="1"/>
  <c r="N27" i="19"/>
  <c r="O27" i="19" s="1"/>
  <c r="N31" i="19"/>
  <c r="O31" i="19" s="1"/>
  <c r="P29" i="18"/>
  <c r="K28" i="18"/>
  <c r="N30" i="18"/>
  <c r="O30" i="18" s="1"/>
  <c r="N13" i="18"/>
  <c r="O13" i="18" s="1"/>
  <c r="K10" i="18"/>
  <c r="P11" i="18"/>
  <c r="N11" i="18"/>
  <c r="O11" i="18" s="1"/>
  <c r="N12" i="18"/>
  <c r="O12" i="18" s="1"/>
  <c r="B6" i="18"/>
  <c r="N10" i="18"/>
  <c r="O10" i="18" s="1"/>
  <c r="P12" i="18"/>
  <c r="P27" i="18"/>
  <c r="N29" i="18"/>
  <c r="O29" i="18" s="1"/>
  <c r="K30" i="18"/>
  <c r="P31" i="18"/>
  <c r="N9" i="18"/>
  <c r="O9" i="18" s="1"/>
  <c r="N28" i="18"/>
  <c r="O28" i="18" s="1"/>
  <c r="B8" i="18"/>
  <c r="K9" i="18"/>
  <c r="K13" i="18"/>
  <c r="N31" i="18"/>
  <c r="O31" i="18" s="1"/>
  <c r="K24" i="18" l="1"/>
  <c r="P6" i="19"/>
  <c r="B7" i="19" s="1"/>
  <c r="K7" i="19" s="1"/>
  <c r="P25" i="18"/>
  <c r="B26" i="18" s="1"/>
  <c r="K26" i="18" s="1"/>
  <c r="P25" i="19"/>
  <c r="B26" i="19" s="1"/>
  <c r="K25" i="19"/>
  <c r="K8" i="18"/>
  <c r="P8" i="18"/>
  <c r="P6" i="18"/>
  <c r="B7" i="18" s="1"/>
  <c r="K6" i="18"/>
  <c r="P7" i="19" l="1"/>
  <c r="P26" i="18"/>
  <c r="P26" i="19"/>
  <c r="K26" i="19"/>
  <c r="P7" i="18"/>
  <c r="K7" i="18"/>
  <c r="O8" i="18" l="1"/>
  <c r="C23" i="7"/>
  <c r="D23" i="7" s="1"/>
  <c r="D21" i="7"/>
  <c r="C14" i="7"/>
  <c r="D14" i="7" s="1"/>
  <c r="D12" i="7"/>
  <c r="D25" i="7" l="1"/>
  <c r="D16" i="7"/>
  <c r="U21" i="1" l="1"/>
  <c r="T21" i="1"/>
  <c r="S21" i="1"/>
  <c r="R21" i="1"/>
  <c r="Q29" i="1"/>
  <c r="Q28" i="1"/>
  <c r="Q27" i="1"/>
  <c r="Q26" i="1"/>
  <c r="Q25" i="1"/>
  <c r="Q24" i="1"/>
  <c r="Q23" i="1"/>
  <c r="Q22" i="1"/>
  <c r="I41" i="16"/>
  <c r="I65" i="16" s="1"/>
  <c r="I71" i="16" s="1"/>
  <c r="H41" i="16"/>
  <c r="H65" i="16" s="1"/>
  <c r="H71" i="16" s="1"/>
  <c r="G41" i="16"/>
  <c r="G65" i="16" s="1"/>
  <c r="G71" i="16" s="1"/>
  <c r="F41" i="16"/>
  <c r="F65" i="16" s="1"/>
  <c r="F71" i="16" s="1"/>
  <c r="E41" i="16"/>
  <c r="E65" i="16" s="1"/>
  <c r="E71" i="16" s="1"/>
  <c r="D41" i="16"/>
  <c r="D65" i="16" s="1"/>
  <c r="D71" i="16" s="1"/>
  <c r="L10" i="1"/>
  <c r="B13" i="16" s="1"/>
  <c r="J19" i="16"/>
  <c r="I44" i="16"/>
  <c r="I68" i="16" s="1"/>
  <c r="I45" i="16"/>
  <c r="I69" i="16" s="1"/>
  <c r="G45" i="16"/>
  <c r="G69" i="16" s="1"/>
  <c r="E45" i="16"/>
  <c r="E69" i="16" s="1"/>
  <c r="G44" i="16"/>
  <c r="G68" i="16" s="1"/>
  <c r="E44" i="16"/>
  <c r="E68" i="16" s="1"/>
  <c r="T25" i="1" l="1"/>
  <c r="G13" i="16"/>
  <c r="G80" i="16" s="1"/>
  <c r="G12" i="16"/>
  <c r="G79" i="16" s="1"/>
  <c r="G83" i="16" l="1"/>
  <c r="G95" i="16"/>
  <c r="G156" i="16" s="1"/>
  <c r="G174" i="16" s="1"/>
  <c r="G9" i="15"/>
  <c r="G8" i="15"/>
  <c r="M20" i="15"/>
  <c r="P20" i="15" s="1"/>
  <c r="L20" i="15"/>
  <c r="O20" i="15" s="1"/>
  <c r="K20" i="15"/>
  <c r="N20" i="15" s="1"/>
  <c r="M11" i="15"/>
  <c r="P11" i="15" s="1"/>
  <c r="L11" i="15"/>
  <c r="O11" i="15" s="1"/>
  <c r="K11" i="15"/>
  <c r="N11" i="15" s="1"/>
  <c r="M10" i="15"/>
  <c r="P10" i="15" s="1"/>
  <c r="L10" i="15"/>
  <c r="O10" i="15" s="1"/>
  <c r="K10" i="15"/>
  <c r="N10" i="15" s="1"/>
  <c r="G5" i="15"/>
  <c r="G17" i="15"/>
  <c r="G19" i="15"/>
  <c r="G18" i="15"/>
  <c r="G16" i="15"/>
  <c r="G15" i="15"/>
  <c r="L15" i="15" s="1"/>
  <c r="O15" i="15" s="1"/>
  <c r="G14" i="15"/>
  <c r="K14" i="15" s="1"/>
  <c r="N14" i="15" s="1"/>
  <c r="G13" i="15"/>
  <c r="G12" i="15"/>
  <c r="G7" i="15"/>
  <c r="G6" i="15"/>
  <c r="C18" i="15"/>
  <c r="C17" i="15"/>
  <c r="E17" i="15" s="1"/>
  <c r="C13" i="15"/>
  <c r="E13" i="15" s="1"/>
  <c r="C12" i="15"/>
  <c r="E12" i="15" s="1"/>
  <c r="J12" i="15" s="1"/>
  <c r="C8" i="15"/>
  <c r="E8" i="15" s="1"/>
  <c r="C5" i="15"/>
  <c r="E5" i="15" s="1"/>
  <c r="I5" i="15" s="1"/>
  <c r="L14" i="13"/>
  <c r="F15" i="13"/>
  <c r="F14" i="13"/>
  <c r="F13" i="13"/>
  <c r="F5" i="13"/>
  <c r="F4" i="13"/>
  <c r="F6" i="13"/>
  <c r="F11" i="8"/>
  <c r="F5" i="8"/>
  <c r="F7" i="11"/>
  <c r="F6" i="11"/>
  <c r="F5" i="11"/>
  <c r="F4" i="11"/>
  <c r="F3" i="11"/>
  <c r="F2" i="11"/>
  <c r="D6" i="13"/>
  <c r="E6" i="13" s="1"/>
  <c r="E5" i="13"/>
  <c r="D4" i="13"/>
  <c r="E4" i="13" s="1"/>
  <c r="I18" i="9"/>
  <c r="I17" i="9"/>
  <c r="K17" i="9" s="1"/>
  <c r="I16" i="9"/>
  <c r="I15" i="9"/>
  <c r="I14" i="9"/>
  <c r="I13" i="9"/>
  <c r="K13" i="9" s="1"/>
  <c r="I12" i="9"/>
  <c r="K12" i="9" s="1"/>
  <c r="I11" i="9"/>
  <c r="J11" i="9" s="1"/>
  <c r="I10" i="9"/>
  <c r="I8" i="9"/>
  <c r="J8" i="9" s="1"/>
  <c r="I9" i="9"/>
  <c r="I7" i="9"/>
  <c r="J7" i="9" s="1"/>
  <c r="I6" i="9"/>
  <c r="I5" i="9"/>
  <c r="J5" i="9" s="1"/>
  <c r="C16" i="9"/>
  <c r="E16" i="9" s="1"/>
  <c r="C15" i="9"/>
  <c r="E15" i="9" s="1"/>
  <c r="C13" i="9"/>
  <c r="C12" i="9"/>
  <c r="E12" i="9" s="1"/>
  <c r="C8" i="9"/>
  <c r="E8" i="9" s="1"/>
  <c r="C5" i="9"/>
  <c r="E21" i="9"/>
  <c r="C21" i="9"/>
  <c r="C10" i="4"/>
  <c r="B8" i="11" s="1"/>
  <c r="H8" i="11" s="1"/>
  <c r="B5" i="11"/>
  <c r="B2" i="11"/>
  <c r="D7" i="11"/>
  <c r="E7" i="11" s="1"/>
  <c r="D6" i="11"/>
  <c r="E6" i="11" s="1"/>
  <c r="D5" i="11"/>
  <c r="E5" i="11" s="1"/>
  <c r="L6" i="11"/>
  <c r="D4" i="11"/>
  <c r="D3" i="11"/>
  <c r="D2" i="11"/>
  <c r="E2" i="11" s="1"/>
  <c r="L11" i="8"/>
  <c r="D11" i="8"/>
  <c r="E11" i="8" s="1"/>
  <c r="E5" i="8"/>
  <c r="D3" i="7"/>
  <c r="C5" i="7"/>
  <c r="D5" i="7" s="1"/>
  <c r="I18" i="12"/>
  <c r="D7" i="12"/>
  <c r="G7" i="12" s="1"/>
  <c r="D6" i="12"/>
  <c r="G6" i="12" s="1"/>
  <c r="D5" i="12"/>
  <c r="G5" i="12" s="1"/>
  <c r="D4" i="12"/>
  <c r="B22" i="4"/>
  <c r="C21" i="4"/>
  <c r="I8" i="3"/>
  <c r="I7" i="3"/>
  <c r="I6" i="3"/>
  <c r="B13" i="3"/>
  <c r="B12" i="3"/>
  <c r="B11" i="3"/>
  <c r="B10" i="3"/>
  <c r="B9" i="3"/>
  <c r="K14" i="1"/>
  <c r="L13" i="1"/>
  <c r="L12" i="1"/>
  <c r="B38" i="16" s="1"/>
  <c r="L11" i="1"/>
  <c r="B33" i="16" s="1"/>
  <c r="L9" i="1"/>
  <c r="L8" i="1"/>
  <c r="Q17" i="1" s="1"/>
  <c r="L7" i="1"/>
  <c r="L6" i="1"/>
  <c r="B18" i="16" s="1"/>
  <c r="N19" i="16" s="1"/>
  <c r="T5" i="16" s="1"/>
  <c r="C13" i="3"/>
  <c r="C12" i="3"/>
  <c r="C11" i="3"/>
  <c r="C10" i="3"/>
  <c r="C31" i="3"/>
  <c r="B31" i="3"/>
  <c r="C30" i="3"/>
  <c r="B30" i="3"/>
  <c r="C29" i="3"/>
  <c r="B29" i="3"/>
  <c r="C28" i="3"/>
  <c r="B28" i="3"/>
  <c r="C27" i="3"/>
  <c r="B27" i="3"/>
  <c r="I31" i="3"/>
  <c r="H31" i="3"/>
  <c r="G31" i="3"/>
  <c r="F31" i="3"/>
  <c r="E31" i="3"/>
  <c r="I30" i="3"/>
  <c r="H30" i="3"/>
  <c r="G30" i="3"/>
  <c r="F30" i="3"/>
  <c r="E30" i="3"/>
  <c r="I29" i="3"/>
  <c r="H29" i="3"/>
  <c r="G29" i="3"/>
  <c r="F29" i="3"/>
  <c r="E29" i="3"/>
  <c r="I28" i="3"/>
  <c r="H28" i="3"/>
  <c r="G28" i="3"/>
  <c r="F28" i="3"/>
  <c r="E28" i="3"/>
  <c r="I27" i="3"/>
  <c r="H27" i="3"/>
  <c r="G27" i="3"/>
  <c r="F27" i="3"/>
  <c r="E27" i="3"/>
  <c r="I26" i="3"/>
  <c r="H26" i="3"/>
  <c r="G26" i="3"/>
  <c r="F26" i="3"/>
  <c r="E26" i="3"/>
  <c r="I25" i="3"/>
  <c r="H25" i="3"/>
  <c r="G25" i="3"/>
  <c r="F25" i="3"/>
  <c r="E25" i="3"/>
  <c r="I24" i="3"/>
  <c r="H24" i="3"/>
  <c r="F24" i="3"/>
  <c r="E24" i="3"/>
  <c r="I13" i="3"/>
  <c r="H13" i="3"/>
  <c r="G13" i="3"/>
  <c r="F13" i="3"/>
  <c r="E13" i="3"/>
  <c r="I12" i="3"/>
  <c r="H12" i="3"/>
  <c r="G12" i="3"/>
  <c r="F12" i="3"/>
  <c r="E12" i="3"/>
  <c r="I11" i="3"/>
  <c r="H11" i="3"/>
  <c r="G11" i="3"/>
  <c r="F11" i="3"/>
  <c r="E11" i="3"/>
  <c r="I10" i="3"/>
  <c r="H10" i="3"/>
  <c r="G10" i="3"/>
  <c r="F10" i="3"/>
  <c r="E10" i="3"/>
  <c r="I9" i="3"/>
  <c r="H9" i="3"/>
  <c r="G9" i="3"/>
  <c r="F9" i="3"/>
  <c r="E9" i="3"/>
  <c r="H8" i="3"/>
  <c r="G8" i="3"/>
  <c r="F8" i="3"/>
  <c r="E8" i="3"/>
  <c r="H7" i="3"/>
  <c r="G7" i="3"/>
  <c r="F7" i="3"/>
  <c r="E7" i="3"/>
  <c r="H6" i="3"/>
  <c r="G6" i="3"/>
  <c r="F6" i="3"/>
  <c r="E6" i="3"/>
  <c r="D20" i="3"/>
  <c r="D21" i="3" s="1"/>
  <c r="D2" i="3"/>
  <c r="B6" i="3" s="1"/>
  <c r="D1" i="3"/>
  <c r="Q18" i="1" s="1"/>
  <c r="K18" i="2"/>
  <c r="D13" i="3" s="1"/>
  <c r="K17" i="2"/>
  <c r="D8" i="18" s="1"/>
  <c r="J8" i="18" s="1"/>
  <c r="L8" i="18" s="1"/>
  <c r="M8" i="18" s="1"/>
  <c r="K16" i="2"/>
  <c r="K15" i="2"/>
  <c r="K14" i="2"/>
  <c r="D6" i="18" s="1"/>
  <c r="K13" i="2"/>
  <c r="K12" i="2"/>
  <c r="D24" i="19" s="1"/>
  <c r="K11" i="2"/>
  <c r="D8" i="3" s="1"/>
  <c r="K10" i="2"/>
  <c r="K9" i="2"/>
  <c r="B13" i="13" l="1"/>
  <c r="E15" i="13" s="1"/>
  <c r="B14" i="11"/>
  <c r="E18" i="15"/>
  <c r="E19" i="15"/>
  <c r="L5" i="15"/>
  <c r="O5" i="15" s="1"/>
  <c r="K8" i="9"/>
  <c r="L13" i="9"/>
  <c r="L17" i="9"/>
  <c r="G108" i="16"/>
  <c r="G120" i="16" s="1"/>
  <c r="G33" i="16"/>
  <c r="G32" i="16"/>
  <c r="E38" i="16"/>
  <c r="E73" i="16" s="1"/>
  <c r="E37" i="16"/>
  <c r="E72" i="16" s="1"/>
  <c r="Q16" i="1"/>
  <c r="Q15" i="1"/>
  <c r="U15" i="1" s="1"/>
  <c r="T17" i="1"/>
  <c r="F14" i="16" s="1"/>
  <c r="J14" i="16" s="1"/>
  <c r="E28" i="12"/>
  <c r="D19" i="18"/>
  <c r="C24" i="18" s="1"/>
  <c r="D19" i="19"/>
  <c r="C24" i="19" s="1"/>
  <c r="G15" i="13"/>
  <c r="D7" i="7"/>
  <c r="T8" i="1" s="1"/>
  <c r="T18" i="1" s="1"/>
  <c r="H4" i="16" s="1"/>
  <c r="H81" i="16" s="1"/>
  <c r="H96" i="16" s="1"/>
  <c r="I157" i="16" s="1"/>
  <c r="I175" i="16" s="1"/>
  <c r="D29" i="3"/>
  <c r="J29" i="3" s="1"/>
  <c r="D7" i="3"/>
  <c r="D7" i="19"/>
  <c r="D12" i="3"/>
  <c r="J12" i="3" s="1"/>
  <c r="D13" i="19"/>
  <c r="J13" i="19" s="1"/>
  <c r="L13" i="19" s="1"/>
  <c r="M13" i="19" s="1"/>
  <c r="D12" i="19"/>
  <c r="J12" i="19" s="1"/>
  <c r="L12" i="19" s="1"/>
  <c r="M12" i="19" s="1"/>
  <c r="D11" i="19"/>
  <c r="J11" i="19" s="1"/>
  <c r="L11" i="19" s="1"/>
  <c r="M11" i="19" s="1"/>
  <c r="D10" i="19"/>
  <c r="J10" i="19" s="1"/>
  <c r="L10" i="19" s="1"/>
  <c r="M10" i="19" s="1"/>
  <c r="D9" i="19"/>
  <c r="J9" i="19" s="1"/>
  <c r="L9" i="19" s="1"/>
  <c r="M9" i="19" s="1"/>
  <c r="D31" i="18"/>
  <c r="D30" i="18"/>
  <c r="D29" i="18"/>
  <c r="D28" i="18"/>
  <c r="D27" i="18"/>
  <c r="D13" i="18"/>
  <c r="J13" i="18" s="1"/>
  <c r="L13" i="18" s="1"/>
  <c r="M13" i="18" s="1"/>
  <c r="D12" i="18"/>
  <c r="J12" i="18" s="1"/>
  <c r="L12" i="18" s="1"/>
  <c r="M12" i="18" s="1"/>
  <c r="D11" i="18"/>
  <c r="J11" i="18" s="1"/>
  <c r="L11" i="18" s="1"/>
  <c r="M11" i="18" s="1"/>
  <c r="D10" i="18"/>
  <c r="J10" i="18" s="1"/>
  <c r="L10" i="18" s="1"/>
  <c r="M10" i="18" s="1"/>
  <c r="D9" i="18"/>
  <c r="J9" i="18" s="1"/>
  <c r="L9" i="18" s="1"/>
  <c r="M9" i="18" s="1"/>
  <c r="D31" i="19"/>
  <c r="D30" i="19"/>
  <c r="D29" i="19"/>
  <c r="D28" i="19"/>
  <c r="D27" i="19"/>
  <c r="D11" i="3"/>
  <c r="J11" i="3" s="1"/>
  <c r="D27" i="3"/>
  <c r="J27" i="3" s="1"/>
  <c r="D6" i="3"/>
  <c r="D6" i="19"/>
  <c r="D25" i="19"/>
  <c r="D8" i="19"/>
  <c r="D25" i="18"/>
  <c r="D26" i="18"/>
  <c r="D7" i="18"/>
  <c r="D9" i="3"/>
  <c r="D25" i="3"/>
  <c r="D26" i="3"/>
  <c r="D26" i="19"/>
  <c r="D24" i="3"/>
  <c r="D24" i="18"/>
  <c r="D31" i="3"/>
  <c r="J31" i="3" s="1"/>
  <c r="E10" i="9"/>
  <c r="E9" i="15"/>
  <c r="E10" i="15"/>
  <c r="G19" i="12"/>
  <c r="G20" i="12" s="1"/>
  <c r="B8" i="16"/>
  <c r="D9" i="12"/>
  <c r="E10" i="12" s="1"/>
  <c r="G4" i="12"/>
  <c r="E17" i="9"/>
  <c r="O17" i="9" s="1"/>
  <c r="R17" i="9" s="1"/>
  <c r="G5" i="13"/>
  <c r="L14" i="15"/>
  <c r="O14" i="15" s="1"/>
  <c r="D28" i="3"/>
  <c r="J28" i="3" s="1"/>
  <c r="D30" i="3"/>
  <c r="J30" i="3" s="1"/>
  <c r="L5" i="8"/>
  <c r="E21" i="7"/>
  <c r="L14" i="1"/>
  <c r="E12" i="7" s="1"/>
  <c r="E3" i="7"/>
  <c r="E5" i="7" s="1"/>
  <c r="F5" i="7" s="1"/>
  <c r="G12" i="12"/>
  <c r="B28" i="16"/>
  <c r="E18" i="9"/>
  <c r="M14" i="15"/>
  <c r="P14" i="15" s="1"/>
  <c r="H12" i="12"/>
  <c r="B23" i="16"/>
  <c r="D10" i="3"/>
  <c r="J10" i="3" s="1"/>
  <c r="E3" i="11"/>
  <c r="E9" i="9"/>
  <c r="N9" i="9" s="1"/>
  <c r="I6" i="13"/>
  <c r="K6" i="13" s="1"/>
  <c r="S17" i="1"/>
  <c r="R17" i="1"/>
  <c r="G5" i="8"/>
  <c r="H5" i="8" s="1"/>
  <c r="I5" i="8" s="1"/>
  <c r="D19" i="3"/>
  <c r="G4" i="13"/>
  <c r="L4" i="13"/>
  <c r="L6" i="13" s="1"/>
  <c r="H19" i="12"/>
  <c r="H20" i="12" s="1"/>
  <c r="E14" i="15"/>
  <c r="M15" i="15"/>
  <c r="P15" i="15" s="1"/>
  <c r="E6" i="15"/>
  <c r="E15" i="15"/>
  <c r="E7" i="15"/>
  <c r="H7" i="15" s="1"/>
  <c r="K7" i="15" s="1"/>
  <c r="N7" i="15" s="1"/>
  <c r="E11" i="15"/>
  <c r="E16" i="15"/>
  <c r="J16" i="15" s="1"/>
  <c r="M16" i="15" s="1"/>
  <c r="P16" i="15" s="1"/>
  <c r="K15" i="15"/>
  <c r="N15" i="15" s="1"/>
  <c r="M12" i="15"/>
  <c r="S12" i="15" s="1"/>
  <c r="J13" i="15"/>
  <c r="M13" i="15" s="1"/>
  <c r="P13" i="15" s="1"/>
  <c r="J8" i="15"/>
  <c r="M8" i="15" s="1"/>
  <c r="P8" i="15" s="1"/>
  <c r="J9" i="15"/>
  <c r="M9" i="15" s="1"/>
  <c r="P9" i="15" s="1"/>
  <c r="H12" i="15"/>
  <c r="K12" i="15" s="1"/>
  <c r="N12" i="15" s="1"/>
  <c r="I17" i="15"/>
  <c r="L17" i="15" s="1"/>
  <c r="O17" i="15" s="1"/>
  <c r="H17" i="15"/>
  <c r="K17" i="15" s="1"/>
  <c r="N17" i="15" s="1"/>
  <c r="J17" i="15"/>
  <c r="M17" i="15" s="1"/>
  <c r="P17" i="15" s="1"/>
  <c r="C21" i="15"/>
  <c r="I8" i="15"/>
  <c r="L8" i="15" s="1"/>
  <c r="O8" i="15" s="1"/>
  <c r="I12" i="15"/>
  <c r="L12" i="15" s="1"/>
  <c r="O12" i="15" s="1"/>
  <c r="H13" i="15"/>
  <c r="K13" i="15" s="1"/>
  <c r="N13" i="15" s="1"/>
  <c r="I13" i="15"/>
  <c r="L13" i="15" s="1"/>
  <c r="O13" i="15" s="1"/>
  <c r="E20" i="15"/>
  <c r="H19" i="15"/>
  <c r="K19" i="15" s="1"/>
  <c r="N19" i="15" s="1"/>
  <c r="H18" i="15"/>
  <c r="K18" i="15" s="1"/>
  <c r="N18" i="15" s="1"/>
  <c r="E13" i="13"/>
  <c r="G13" i="13" s="1"/>
  <c r="E14" i="13"/>
  <c r="G14" i="13" s="1"/>
  <c r="G3" i="11"/>
  <c r="G11" i="8"/>
  <c r="H11" i="8" s="1"/>
  <c r="K11" i="8" s="1"/>
  <c r="U6" i="1" s="1"/>
  <c r="B8" i="3"/>
  <c r="P6" i="3"/>
  <c r="B7" i="3" s="1"/>
  <c r="E5" i="9"/>
  <c r="N5" i="9" s="1"/>
  <c r="Q5" i="9" s="1"/>
  <c r="E7" i="9"/>
  <c r="O7" i="9" s="1"/>
  <c r="P10" i="9"/>
  <c r="O10" i="9"/>
  <c r="E6" i="9"/>
  <c r="O6" i="9" s="1"/>
  <c r="K9" i="9"/>
  <c r="L9" i="9"/>
  <c r="J12" i="9"/>
  <c r="L12" i="9"/>
  <c r="J16" i="9"/>
  <c r="L16" i="9"/>
  <c r="K16" i="9"/>
  <c r="K5" i="9"/>
  <c r="L8" i="9"/>
  <c r="N18" i="9"/>
  <c r="L5" i="9"/>
  <c r="J13" i="9"/>
  <c r="J17" i="9"/>
  <c r="N15" i="9"/>
  <c r="P15" i="9"/>
  <c r="O8" i="9"/>
  <c r="N8" i="9"/>
  <c r="Q8" i="9" s="1"/>
  <c r="O12" i="9"/>
  <c r="R12" i="9" s="1"/>
  <c r="N12" i="9"/>
  <c r="O16" i="9"/>
  <c r="N16" i="9"/>
  <c r="L6" i="9"/>
  <c r="K6" i="9"/>
  <c r="J6" i="9"/>
  <c r="L10" i="9"/>
  <c r="K10" i="9"/>
  <c r="J10" i="9"/>
  <c r="L14" i="9"/>
  <c r="K14" i="9"/>
  <c r="J14" i="9"/>
  <c r="L18" i="9"/>
  <c r="K18" i="9"/>
  <c r="J18" i="9"/>
  <c r="P8" i="9"/>
  <c r="O9" i="9"/>
  <c r="E14" i="9"/>
  <c r="E13" i="9"/>
  <c r="P17" i="9"/>
  <c r="S17" i="9" s="1"/>
  <c r="L7" i="9"/>
  <c r="K7" i="9"/>
  <c r="L11" i="9"/>
  <c r="K11" i="9"/>
  <c r="L15" i="9"/>
  <c r="K15" i="9"/>
  <c r="O15" i="9"/>
  <c r="J15" i="9"/>
  <c r="P18" i="9"/>
  <c r="O18" i="9"/>
  <c r="N10" i="9"/>
  <c r="P12" i="9"/>
  <c r="P16" i="9"/>
  <c r="E11" i="9"/>
  <c r="C19" i="9"/>
  <c r="T14" i="1" s="1"/>
  <c r="J9" i="9"/>
  <c r="K8" i="11"/>
  <c r="G6" i="11"/>
  <c r="G2" i="11"/>
  <c r="G7" i="11"/>
  <c r="G5" i="11"/>
  <c r="L3" i="11"/>
  <c r="E4" i="11"/>
  <c r="G4" i="11" s="1"/>
  <c r="L9" i="11"/>
  <c r="P12" i="3"/>
  <c r="K6" i="3"/>
  <c r="K28" i="3"/>
  <c r="P11" i="3"/>
  <c r="K30" i="3"/>
  <c r="P9" i="3"/>
  <c r="P13" i="3"/>
  <c r="K27" i="3"/>
  <c r="K29" i="3"/>
  <c r="K31" i="3"/>
  <c r="K10" i="3"/>
  <c r="N11" i="3"/>
  <c r="O11" i="3" s="1"/>
  <c r="N13" i="3"/>
  <c r="O13" i="3" s="1"/>
  <c r="N10" i="3"/>
  <c r="O10" i="3" s="1"/>
  <c r="P10" i="3"/>
  <c r="N12" i="3"/>
  <c r="O12" i="3" s="1"/>
  <c r="K12" i="3"/>
  <c r="J13" i="3"/>
  <c r="K9" i="3"/>
  <c r="K11" i="3"/>
  <c r="K13" i="3"/>
  <c r="P28" i="3"/>
  <c r="P30" i="3"/>
  <c r="B24" i="3"/>
  <c r="P24" i="3" s="1"/>
  <c r="B25" i="3" s="1"/>
  <c r="P27" i="3"/>
  <c r="P29" i="3"/>
  <c r="P31" i="3"/>
  <c r="N28" i="3"/>
  <c r="O28" i="3" s="1"/>
  <c r="N30" i="3"/>
  <c r="O30" i="3" s="1"/>
  <c r="N29" i="3"/>
  <c r="O29" i="3" s="1"/>
  <c r="N31" i="3"/>
  <c r="O31" i="3" s="1"/>
  <c r="N27" i="3"/>
  <c r="O27" i="3" s="1"/>
  <c r="D3" i="3"/>
  <c r="R15" i="9" l="1"/>
  <c r="E16" i="11"/>
  <c r="G16" i="11" s="1"/>
  <c r="E15" i="11"/>
  <c r="G15" i="11" s="1"/>
  <c r="E14" i="11"/>
  <c r="G14" i="11" s="1"/>
  <c r="H14" i="11" s="1"/>
  <c r="L29" i="3"/>
  <c r="M29" i="3" s="1"/>
  <c r="I11" i="12"/>
  <c r="T5" i="1" s="1"/>
  <c r="L31" i="3"/>
  <c r="M31" i="3" s="1"/>
  <c r="L27" i="3"/>
  <c r="M27" i="3" s="1"/>
  <c r="R7" i="9"/>
  <c r="N7" i="9"/>
  <c r="Q7" i="9" s="1"/>
  <c r="P7" i="9"/>
  <c r="S7" i="9" s="1"/>
  <c r="Y7" i="9" s="1"/>
  <c r="R8" i="9"/>
  <c r="X8" i="9" s="1"/>
  <c r="E76" i="16"/>
  <c r="E89" i="16"/>
  <c r="E149" i="16" s="1"/>
  <c r="E167" i="16" s="1"/>
  <c r="H109" i="16"/>
  <c r="H121" i="16" s="1"/>
  <c r="F4" i="16"/>
  <c r="F8" i="16"/>
  <c r="G43" i="16"/>
  <c r="G67" i="16" s="1"/>
  <c r="G73" i="16"/>
  <c r="G42" i="16"/>
  <c r="G66" i="16" s="1"/>
  <c r="G72" i="16"/>
  <c r="T24" i="1"/>
  <c r="N14" i="16"/>
  <c r="T9" i="16" s="1"/>
  <c r="D24" i="16"/>
  <c r="B23" i="14"/>
  <c r="D23" i="14" s="1"/>
  <c r="N24" i="19"/>
  <c r="O24" i="19" s="1"/>
  <c r="C25" i="19" s="1"/>
  <c r="L25" i="19" s="1"/>
  <c r="M25" i="19" s="1"/>
  <c r="E30" i="12"/>
  <c r="F30" i="12" s="1"/>
  <c r="F28" i="12"/>
  <c r="F32" i="12"/>
  <c r="H4" i="13"/>
  <c r="K4" i="13" s="1"/>
  <c r="M4" i="13" s="1"/>
  <c r="N24" i="18"/>
  <c r="O24" i="18" s="1"/>
  <c r="C25" i="18" s="1"/>
  <c r="L25" i="18" s="1"/>
  <c r="M25" i="18" s="1"/>
  <c r="B6" i="14"/>
  <c r="D6" i="14" s="1"/>
  <c r="I6" i="14" s="1"/>
  <c r="L6" i="14" s="1"/>
  <c r="O6" i="14" s="1"/>
  <c r="B44" i="16"/>
  <c r="L28" i="3"/>
  <c r="M28" i="3" s="1"/>
  <c r="R15" i="1"/>
  <c r="F27" i="16" s="1"/>
  <c r="L30" i="3"/>
  <c r="M30" i="3" s="1"/>
  <c r="J24" i="19"/>
  <c r="L24" i="19"/>
  <c r="J28" i="19"/>
  <c r="L28" i="19"/>
  <c r="M28" i="19" s="1"/>
  <c r="J29" i="19"/>
  <c r="L29" i="19"/>
  <c r="M29" i="19" s="1"/>
  <c r="J27" i="18"/>
  <c r="L27" i="18"/>
  <c r="M27" i="18" s="1"/>
  <c r="J31" i="18"/>
  <c r="L31" i="18"/>
  <c r="M31" i="18" s="1"/>
  <c r="L30" i="19"/>
  <c r="M30" i="19" s="1"/>
  <c r="J30" i="19"/>
  <c r="J28" i="18"/>
  <c r="L28" i="18"/>
  <c r="M28" i="18" s="1"/>
  <c r="J30" i="18"/>
  <c r="L30" i="18"/>
  <c r="M30" i="18" s="1"/>
  <c r="J24" i="18"/>
  <c r="L24" i="18"/>
  <c r="J27" i="19"/>
  <c r="L27" i="19"/>
  <c r="M27" i="19" s="1"/>
  <c r="J31" i="19"/>
  <c r="L31" i="19"/>
  <c r="M31" i="19" s="1"/>
  <c r="J29" i="18"/>
  <c r="L29" i="18"/>
  <c r="M29" i="18" s="1"/>
  <c r="P9" i="9"/>
  <c r="D34" i="16"/>
  <c r="P12" i="15"/>
  <c r="V12" i="15" s="1"/>
  <c r="I8" i="16"/>
  <c r="I7" i="16"/>
  <c r="I79" i="16" s="1"/>
  <c r="F13" i="16"/>
  <c r="J13" i="16" s="1"/>
  <c r="D29" i="16"/>
  <c r="E19" i="9"/>
  <c r="N17" i="9"/>
  <c r="Q17" i="9" s="1"/>
  <c r="P5" i="9"/>
  <c r="S5" i="9" s="1"/>
  <c r="V5" i="9" s="1"/>
  <c r="AB5" i="9" s="1"/>
  <c r="R16" i="9"/>
  <c r="X16" i="9" s="1"/>
  <c r="Q16" i="9"/>
  <c r="T16" i="9" s="1"/>
  <c r="Z16" i="9" s="1"/>
  <c r="J7" i="15"/>
  <c r="M7" i="15" s="1"/>
  <c r="P7" i="15" s="1"/>
  <c r="V7" i="15" s="1"/>
  <c r="F3" i="16"/>
  <c r="D39" i="16"/>
  <c r="J39" i="16" s="1"/>
  <c r="E14" i="7"/>
  <c r="F14" i="7" s="1"/>
  <c r="F12" i="7"/>
  <c r="F16" i="7"/>
  <c r="J38" i="16"/>
  <c r="E43" i="16"/>
  <c r="E67" i="16" s="1"/>
  <c r="M9" i="11"/>
  <c r="Q15" i="9"/>
  <c r="T15" i="9" s="1"/>
  <c r="Z15" i="9" s="1"/>
  <c r="O5" i="9"/>
  <c r="R5" i="9" s="1"/>
  <c r="R9" i="9"/>
  <c r="X9" i="9" s="1"/>
  <c r="Q12" i="9"/>
  <c r="W12" i="9" s="1"/>
  <c r="I7" i="15"/>
  <c r="L7" i="15" s="1"/>
  <c r="O7" i="15" s="1"/>
  <c r="U7" i="15" s="1"/>
  <c r="F9" i="16"/>
  <c r="J9" i="16" s="1"/>
  <c r="I27" i="16"/>
  <c r="I72" i="16" s="1"/>
  <c r="I28" i="16"/>
  <c r="I73" i="16" s="1"/>
  <c r="E23" i="7"/>
  <c r="F23" i="7" s="1"/>
  <c r="F21" i="7"/>
  <c r="F25" i="7"/>
  <c r="J37" i="16"/>
  <c r="R29" i="1" s="1"/>
  <c r="E42" i="16"/>
  <c r="E66" i="16" s="1"/>
  <c r="F2" i="16"/>
  <c r="F12" i="16"/>
  <c r="J12" i="16" s="1"/>
  <c r="F7" i="16"/>
  <c r="J4" i="16"/>
  <c r="S15" i="1"/>
  <c r="F22" i="16"/>
  <c r="F35" i="16"/>
  <c r="F25" i="16"/>
  <c r="F30" i="16"/>
  <c r="F7" i="7"/>
  <c r="K5" i="8"/>
  <c r="F3" i="7"/>
  <c r="T16" i="1"/>
  <c r="I11" i="8"/>
  <c r="I4" i="13"/>
  <c r="I19" i="12"/>
  <c r="I20" i="12" s="1"/>
  <c r="V13" i="15"/>
  <c r="V8" i="15"/>
  <c r="S13" i="15"/>
  <c r="H8" i="15"/>
  <c r="K8" i="15" s="1"/>
  <c r="N8" i="15" s="1"/>
  <c r="H16" i="15"/>
  <c r="K16" i="15" s="1"/>
  <c r="N16" i="15" s="1"/>
  <c r="H9" i="15"/>
  <c r="K9" i="15" s="1"/>
  <c r="N9" i="15" s="1"/>
  <c r="I9" i="15"/>
  <c r="L9" i="15" s="1"/>
  <c r="O9" i="15" s="1"/>
  <c r="I16" i="15"/>
  <c r="L16" i="15" s="1"/>
  <c r="O16" i="15" s="1"/>
  <c r="U17" i="15"/>
  <c r="R17" i="15"/>
  <c r="Q7" i="15"/>
  <c r="T7" i="15"/>
  <c r="T19" i="15"/>
  <c r="Q19" i="15"/>
  <c r="T18" i="15"/>
  <c r="Q18" i="15"/>
  <c r="Q17" i="15"/>
  <c r="T17" i="15"/>
  <c r="U12" i="15"/>
  <c r="R12" i="15"/>
  <c r="U8" i="15"/>
  <c r="R8" i="15"/>
  <c r="E21" i="15"/>
  <c r="J5" i="15"/>
  <c r="M5" i="15" s="1"/>
  <c r="P5" i="15" s="1"/>
  <c r="H5" i="15"/>
  <c r="K5" i="15" s="1"/>
  <c r="N5" i="15" s="1"/>
  <c r="V17" i="15"/>
  <c r="S17" i="15"/>
  <c r="R13" i="15"/>
  <c r="U13" i="15"/>
  <c r="J18" i="15"/>
  <c r="M18" i="15" s="1"/>
  <c r="P18" i="15" s="1"/>
  <c r="I18" i="15"/>
  <c r="L18" i="15" s="1"/>
  <c r="O18" i="15" s="1"/>
  <c r="J19" i="15"/>
  <c r="M19" i="15" s="1"/>
  <c r="P19" i="15" s="1"/>
  <c r="I19" i="15"/>
  <c r="L19" i="15" s="1"/>
  <c r="O19" i="15" s="1"/>
  <c r="I6" i="15"/>
  <c r="L6" i="15" s="1"/>
  <c r="O6" i="15" s="1"/>
  <c r="J6" i="15"/>
  <c r="M6" i="15" s="1"/>
  <c r="P6" i="15" s="1"/>
  <c r="H6" i="15"/>
  <c r="K6" i="15" s="1"/>
  <c r="N6" i="15" s="1"/>
  <c r="H13" i="13"/>
  <c r="M6" i="13"/>
  <c r="M11" i="8"/>
  <c r="K24" i="3"/>
  <c r="T7" i="9"/>
  <c r="Z7" i="9" s="1"/>
  <c r="W7" i="9"/>
  <c r="U17" i="9"/>
  <c r="AA17" i="9" s="1"/>
  <c r="X17" i="9"/>
  <c r="U9" i="9"/>
  <c r="AA9" i="9" s="1"/>
  <c r="W5" i="9"/>
  <c r="T5" i="9"/>
  <c r="Z5" i="9" s="1"/>
  <c r="R18" i="9"/>
  <c r="V17" i="9"/>
  <c r="AB17" i="9" s="1"/>
  <c r="Y17" i="9"/>
  <c r="X15" i="9"/>
  <c r="U15" i="9"/>
  <c r="AA15" i="9" s="1"/>
  <c r="X7" i="9"/>
  <c r="U7" i="9"/>
  <c r="AA7" i="9" s="1"/>
  <c r="S9" i="9"/>
  <c r="Q10" i="9"/>
  <c r="S16" i="9"/>
  <c r="S8" i="9"/>
  <c r="R10" i="9"/>
  <c r="X12" i="9"/>
  <c r="U12" i="9"/>
  <c r="AA12" i="9" s="1"/>
  <c r="S12" i="9"/>
  <c r="Q18" i="9"/>
  <c r="S10" i="9"/>
  <c r="W8" i="9"/>
  <c r="T8" i="9"/>
  <c r="Z8" i="9" s="1"/>
  <c r="N6" i="9"/>
  <c r="Q6" i="9" s="1"/>
  <c r="P6" i="9"/>
  <c r="S6" i="9" s="1"/>
  <c r="N11" i="9"/>
  <c r="Q11" i="9" s="1"/>
  <c r="P11" i="9"/>
  <c r="S11" i="9" s="1"/>
  <c r="O11" i="9"/>
  <c r="R11" i="9" s="1"/>
  <c r="S18" i="9"/>
  <c r="S15" i="9"/>
  <c r="P13" i="9"/>
  <c r="S13" i="9" s="1"/>
  <c r="O13" i="9"/>
  <c r="R13" i="9" s="1"/>
  <c r="N13" i="9"/>
  <c r="Q13" i="9" s="1"/>
  <c r="Q9" i="9"/>
  <c r="R6" i="9"/>
  <c r="P14" i="9"/>
  <c r="S14" i="9" s="1"/>
  <c r="O14" i="9"/>
  <c r="R14" i="9" s="1"/>
  <c r="N14" i="9"/>
  <c r="Q14" i="9" s="1"/>
  <c r="L10" i="3"/>
  <c r="M10" i="3" s="1"/>
  <c r="H5" i="11"/>
  <c r="H2" i="11"/>
  <c r="L12" i="11"/>
  <c r="P25" i="3"/>
  <c r="B26" i="3" s="1"/>
  <c r="K26" i="3" s="1"/>
  <c r="K25" i="3"/>
  <c r="L11" i="3"/>
  <c r="M11" i="3" s="1"/>
  <c r="L13" i="3"/>
  <c r="M13" i="3" s="1"/>
  <c r="L12" i="3"/>
  <c r="M12" i="3" s="1"/>
  <c r="P7" i="3"/>
  <c r="K7" i="3"/>
  <c r="K14" i="11" l="1"/>
  <c r="I14" i="11"/>
  <c r="V5" i="1"/>
  <c r="T15" i="1"/>
  <c r="F34" i="16" s="1"/>
  <c r="J34" i="16" s="1"/>
  <c r="T10" i="1"/>
  <c r="R7" i="15"/>
  <c r="Y5" i="9"/>
  <c r="W16" i="9"/>
  <c r="W15" i="9"/>
  <c r="V7" i="9"/>
  <c r="AB7" i="9" s="1"/>
  <c r="U8" i="9"/>
  <c r="AA8" i="9" s="1"/>
  <c r="J6" i="14"/>
  <c r="M6" i="14" s="1"/>
  <c r="P6" i="14" s="1"/>
  <c r="H6" i="14"/>
  <c r="K6" i="14" s="1"/>
  <c r="N6" i="14" s="1"/>
  <c r="F80" i="16"/>
  <c r="I89" i="16"/>
  <c r="I149" i="16" s="1"/>
  <c r="I76" i="16"/>
  <c r="G76" i="16"/>
  <c r="G89" i="16"/>
  <c r="G149" i="16" s="1"/>
  <c r="G167" i="16" s="1"/>
  <c r="E102" i="16"/>
  <c r="E114" i="16" s="1"/>
  <c r="G47" i="16"/>
  <c r="E62" i="16" s="1"/>
  <c r="D74" i="16"/>
  <c r="D90" i="16" s="1"/>
  <c r="E150" i="16" s="1"/>
  <c r="F81" i="16"/>
  <c r="F96" i="16" s="1"/>
  <c r="G157" i="16" s="1"/>
  <c r="S29" i="1"/>
  <c r="N38" i="16"/>
  <c r="S4" i="16" s="1"/>
  <c r="F79" i="16"/>
  <c r="S24" i="1"/>
  <c r="N13" i="16"/>
  <c r="S9" i="16" s="1"/>
  <c r="J8" i="16"/>
  <c r="I80" i="16"/>
  <c r="I83" i="16" s="1"/>
  <c r="R24" i="1"/>
  <c r="N12" i="16"/>
  <c r="R9" i="16" s="1"/>
  <c r="N37" i="16"/>
  <c r="R4" i="16" s="1"/>
  <c r="T29" i="1"/>
  <c r="N39" i="16"/>
  <c r="T4" i="16" s="1"/>
  <c r="F75" i="16"/>
  <c r="F91" i="16" s="1"/>
  <c r="G152" i="16" s="1"/>
  <c r="T22" i="1"/>
  <c r="N4" i="16"/>
  <c r="T11" i="16" s="1"/>
  <c r="T23" i="1"/>
  <c r="N9" i="16"/>
  <c r="T10" i="16" s="1"/>
  <c r="F32" i="16"/>
  <c r="F72" i="16" s="1"/>
  <c r="B8" i="14"/>
  <c r="D8" i="14" s="1"/>
  <c r="N25" i="18"/>
  <c r="O25" i="18" s="1"/>
  <c r="C26" i="18" s="1"/>
  <c r="B24" i="14"/>
  <c r="D24" i="14" s="1"/>
  <c r="N25" i="19"/>
  <c r="O25" i="19" s="1"/>
  <c r="C26" i="19" s="1"/>
  <c r="J25" i="19"/>
  <c r="J25" i="18"/>
  <c r="U8" i="1"/>
  <c r="U18" i="1" s="1"/>
  <c r="H5" i="16" s="1"/>
  <c r="H82" i="16" s="1"/>
  <c r="H97" i="16" s="1"/>
  <c r="I159" i="16" s="1"/>
  <c r="I177" i="16" s="1"/>
  <c r="J7" i="16"/>
  <c r="I43" i="16"/>
  <c r="M24" i="18"/>
  <c r="M24" i="19"/>
  <c r="D44" i="16"/>
  <c r="D68" i="16" s="1"/>
  <c r="W17" i="9"/>
  <c r="T17" i="9"/>
  <c r="Z17" i="9" s="1"/>
  <c r="R19" i="9"/>
  <c r="U5" i="9"/>
  <c r="AA5" i="9" s="1"/>
  <c r="X5" i="9"/>
  <c r="T12" i="9"/>
  <c r="Z12" i="9" s="1"/>
  <c r="I42" i="16"/>
  <c r="I66" i="16" s="1"/>
  <c r="U16" i="9"/>
  <c r="AA16" i="9" s="1"/>
  <c r="E47" i="16"/>
  <c r="D62" i="16" s="1"/>
  <c r="M5" i="8"/>
  <c r="H24" i="16"/>
  <c r="F33" i="16"/>
  <c r="F28" i="16"/>
  <c r="F23" i="16"/>
  <c r="K8" i="13"/>
  <c r="U16" i="1"/>
  <c r="H25" i="16" s="1"/>
  <c r="I23" i="14"/>
  <c r="L23" i="14" s="1"/>
  <c r="O23" i="14" s="1"/>
  <c r="H23" i="14"/>
  <c r="K23" i="14" s="1"/>
  <c r="N23" i="14" s="1"/>
  <c r="J23" i="14"/>
  <c r="M23" i="14" s="1"/>
  <c r="P23" i="14" s="1"/>
  <c r="H12" i="11"/>
  <c r="S16" i="15"/>
  <c r="R16" i="15"/>
  <c r="U9" i="15"/>
  <c r="T9" i="15"/>
  <c r="S8" i="15"/>
  <c r="S7" i="15"/>
  <c r="R9" i="15"/>
  <c r="Q8" i="15"/>
  <c r="T8" i="15"/>
  <c r="U16" i="15"/>
  <c r="T16" i="15"/>
  <c r="Q16" i="15"/>
  <c r="U6" i="15"/>
  <c r="R6" i="15"/>
  <c r="V6" i="15"/>
  <c r="S6" i="15"/>
  <c r="Q12" i="15"/>
  <c r="T12" i="15"/>
  <c r="R5" i="15"/>
  <c r="L21" i="15"/>
  <c r="T13" i="15"/>
  <c r="Q13" i="15"/>
  <c r="U19" i="15"/>
  <c r="R19" i="15"/>
  <c r="U18" i="15"/>
  <c r="R18" i="15"/>
  <c r="Q5" i="15"/>
  <c r="T5" i="15"/>
  <c r="Q6" i="15"/>
  <c r="T6" i="15"/>
  <c r="V19" i="15"/>
  <c r="S19" i="15"/>
  <c r="V18" i="15"/>
  <c r="S18" i="15"/>
  <c r="S5" i="15"/>
  <c r="V5" i="15"/>
  <c r="K13" i="13"/>
  <c r="I13" i="13"/>
  <c r="W6" i="9"/>
  <c r="T6" i="9"/>
  <c r="Z6" i="9" s="1"/>
  <c r="W14" i="9"/>
  <c r="T14" i="9"/>
  <c r="Z14" i="9" s="1"/>
  <c r="U11" i="9"/>
  <c r="AA11" i="9" s="1"/>
  <c r="X11" i="9"/>
  <c r="W13" i="9"/>
  <c r="T13" i="9"/>
  <c r="Z13" i="9" s="1"/>
  <c r="V18" i="9"/>
  <c r="AB18" i="9" s="1"/>
  <c r="Y18" i="9"/>
  <c r="V6" i="9"/>
  <c r="AB6" i="9" s="1"/>
  <c r="Y6" i="9"/>
  <c r="V10" i="9"/>
  <c r="AB10" i="9" s="1"/>
  <c r="Y10" i="9"/>
  <c r="Y12" i="9"/>
  <c r="V12" i="9"/>
  <c r="AB12" i="9" s="1"/>
  <c r="V8" i="9"/>
  <c r="AB8" i="9" s="1"/>
  <c r="Y8" i="9"/>
  <c r="W10" i="9"/>
  <c r="T10" i="9"/>
  <c r="Z10" i="9" s="1"/>
  <c r="X6" i="9"/>
  <c r="U6" i="9"/>
  <c r="AA6" i="9" s="1"/>
  <c r="U13" i="9"/>
  <c r="AA13" i="9" s="1"/>
  <c r="X13" i="9"/>
  <c r="W18" i="9"/>
  <c r="T18" i="9"/>
  <c r="Z18" i="9" s="1"/>
  <c r="V16" i="9"/>
  <c r="AB16" i="9" s="1"/>
  <c r="Y16" i="9"/>
  <c r="X14" i="9"/>
  <c r="U14" i="9"/>
  <c r="AA14" i="9" s="1"/>
  <c r="T9" i="9"/>
  <c r="Z9" i="9" s="1"/>
  <c r="W9" i="9"/>
  <c r="V13" i="9"/>
  <c r="AB13" i="9" s="1"/>
  <c r="Y13" i="9"/>
  <c r="Y11" i="9"/>
  <c r="V11" i="9"/>
  <c r="AB11" i="9" s="1"/>
  <c r="V14" i="9"/>
  <c r="AB14" i="9" s="1"/>
  <c r="Y14" i="9"/>
  <c r="Y15" i="9"/>
  <c r="V15" i="9"/>
  <c r="AB15" i="9" s="1"/>
  <c r="T11" i="9"/>
  <c r="Z11" i="9" s="1"/>
  <c r="W11" i="9"/>
  <c r="X10" i="9"/>
  <c r="U10" i="9"/>
  <c r="AA10" i="9" s="1"/>
  <c r="V9" i="9"/>
  <c r="AB9" i="9" s="1"/>
  <c r="Y9" i="9"/>
  <c r="X18" i="9"/>
  <c r="U18" i="9"/>
  <c r="AA18" i="9" s="1"/>
  <c r="I5" i="11"/>
  <c r="K5" i="11"/>
  <c r="M6" i="11" s="1"/>
  <c r="I2" i="11"/>
  <c r="K2" i="11"/>
  <c r="M3" i="11" s="1"/>
  <c r="P26" i="3"/>
  <c r="P8" i="3"/>
  <c r="K8" i="3"/>
  <c r="F29" i="16" l="1"/>
  <c r="J29" i="16" s="1"/>
  <c r="N29" i="16" s="1"/>
  <c r="T7" i="16" s="1"/>
  <c r="F24" i="16"/>
  <c r="V15" i="1"/>
  <c r="H75" i="16"/>
  <c r="H91" i="16" s="1"/>
  <c r="I167" i="16"/>
  <c r="K149" i="16"/>
  <c r="K167" i="16" s="1"/>
  <c r="K157" i="16"/>
  <c r="K175" i="16" s="1"/>
  <c r="G175" i="16"/>
  <c r="I95" i="16"/>
  <c r="F104" i="16"/>
  <c r="F116" i="16" s="1"/>
  <c r="F109" i="16"/>
  <c r="F121" i="16" s="1"/>
  <c r="H110" i="16"/>
  <c r="H122" i="16" s="1"/>
  <c r="F95" i="16"/>
  <c r="G155" i="16" s="1"/>
  <c r="D103" i="16"/>
  <c r="D115" i="16" s="1"/>
  <c r="G102" i="16"/>
  <c r="G114" i="16" s="1"/>
  <c r="I102" i="16"/>
  <c r="I114" i="16" s="1"/>
  <c r="F42" i="16"/>
  <c r="F66" i="16" s="1"/>
  <c r="R23" i="1"/>
  <c r="N7" i="16"/>
  <c r="R10" i="16" s="1"/>
  <c r="H44" i="16"/>
  <c r="H68" i="16" s="1"/>
  <c r="H74" i="16"/>
  <c r="H90" i="16" s="1"/>
  <c r="I150" i="16" s="1"/>
  <c r="T28" i="1"/>
  <c r="N34" i="16"/>
  <c r="T6" i="16" s="1"/>
  <c r="S23" i="1"/>
  <c r="N8" i="16"/>
  <c r="S10" i="16" s="1"/>
  <c r="F73" i="16"/>
  <c r="S9" i="1"/>
  <c r="S19" i="1" s="1"/>
  <c r="I67" i="16"/>
  <c r="I47" i="16"/>
  <c r="F62" i="16" s="1"/>
  <c r="N26" i="18"/>
  <c r="N33" i="18" s="1"/>
  <c r="C6" i="18" s="1"/>
  <c r="L26" i="18"/>
  <c r="J26" i="18"/>
  <c r="R9" i="1"/>
  <c r="R19" i="1" s="1"/>
  <c r="H24" i="14"/>
  <c r="K24" i="14" s="1"/>
  <c r="N24" i="14" s="1"/>
  <c r="I24" i="14"/>
  <c r="L24" i="14" s="1"/>
  <c r="O24" i="14" s="1"/>
  <c r="J24" i="14"/>
  <c r="M24" i="14" s="1"/>
  <c r="P24" i="14" s="1"/>
  <c r="B25" i="14"/>
  <c r="D25" i="14" s="1"/>
  <c r="N26" i="19"/>
  <c r="N33" i="19" s="1"/>
  <c r="C6" i="19" s="1"/>
  <c r="L26" i="19"/>
  <c r="J26" i="19"/>
  <c r="I8" i="14"/>
  <c r="L8" i="14" s="1"/>
  <c r="O8" i="14" s="1"/>
  <c r="H8" i="14"/>
  <c r="K8" i="14" s="1"/>
  <c r="N8" i="14" s="1"/>
  <c r="J8" i="14"/>
  <c r="M8" i="14" s="1"/>
  <c r="P8" i="14" s="1"/>
  <c r="H45" i="16"/>
  <c r="H69" i="16" s="1"/>
  <c r="M8" i="13"/>
  <c r="J24" i="16"/>
  <c r="F43" i="16"/>
  <c r="F67" i="16" s="1"/>
  <c r="V16" i="15"/>
  <c r="Q9" i="15"/>
  <c r="S9" i="15"/>
  <c r="V9" i="15"/>
  <c r="U5" i="15"/>
  <c r="O21" i="15"/>
  <c r="M14" i="13"/>
  <c r="M16" i="13" s="1"/>
  <c r="K16" i="13"/>
  <c r="U7" i="1" s="1"/>
  <c r="U19" i="9"/>
  <c r="K12" i="11"/>
  <c r="U4" i="1" s="1"/>
  <c r="F44" i="16" l="1"/>
  <c r="F68" i="16" s="1"/>
  <c r="T27" i="1"/>
  <c r="F74" i="16"/>
  <c r="F90" i="16" s="1"/>
  <c r="G150" i="16" s="1"/>
  <c r="G168" i="16" s="1"/>
  <c r="S4" i="1"/>
  <c r="O22" i="15"/>
  <c r="S14" i="1" s="1"/>
  <c r="D33" i="16" s="1"/>
  <c r="J33" i="16" s="1"/>
  <c r="R4" i="1"/>
  <c r="U20" i="9"/>
  <c r="R14" i="1" s="1"/>
  <c r="D27" i="16" s="1"/>
  <c r="J27" i="16" s="1"/>
  <c r="I152" i="16"/>
  <c r="I170" i="16" s="1"/>
  <c r="H104" i="16"/>
  <c r="H116" i="16" s="1"/>
  <c r="O26" i="19"/>
  <c r="O26" i="18"/>
  <c r="I108" i="16"/>
  <c r="I120" i="16" s="1"/>
  <c r="I156" i="16"/>
  <c r="F76" i="16"/>
  <c r="F108" i="16"/>
  <c r="F120" i="16" s="1"/>
  <c r="H103" i="16"/>
  <c r="H115" i="16" s="1"/>
  <c r="F89" i="16"/>
  <c r="G148" i="16" s="1"/>
  <c r="V19" i="1"/>
  <c r="T26" i="1"/>
  <c r="T30" i="1" s="1"/>
  <c r="N24" i="16"/>
  <c r="T8" i="16" s="1"/>
  <c r="V9" i="1"/>
  <c r="J25" i="14"/>
  <c r="M25" i="14" s="1"/>
  <c r="P25" i="14" s="1"/>
  <c r="I25" i="14"/>
  <c r="L25" i="14" s="1"/>
  <c r="H25" i="14"/>
  <c r="K25" i="14" s="1"/>
  <c r="M26" i="18"/>
  <c r="M33" i="18" s="1"/>
  <c r="L33" i="18"/>
  <c r="B26" i="14"/>
  <c r="D26" i="14" s="1"/>
  <c r="N6" i="19"/>
  <c r="O6" i="19" s="1"/>
  <c r="C7" i="19" s="1"/>
  <c r="J6" i="19"/>
  <c r="L6" i="19" s="1"/>
  <c r="U10" i="1"/>
  <c r="M26" i="19"/>
  <c r="M33" i="19" s="1"/>
  <c r="L33" i="19"/>
  <c r="B7" i="14"/>
  <c r="D7" i="14" s="1"/>
  <c r="N6" i="18"/>
  <c r="O6" i="18" s="1"/>
  <c r="C7" i="18" s="1"/>
  <c r="J6" i="18"/>
  <c r="L6" i="18" s="1"/>
  <c r="U17" i="1"/>
  <c r="M12" i="11"/>
  <c r="U14" i="1"/>
  <c r="F103" i="16" l="1"/>
  <c r="F115" i="16" s="1"/>
  <c r="K150" i="16"/>
  <c r="K168" i="16" s="1"/>
  <c r="D23" i="16"/>
  <c r="D17" i="16"/>
  <c r="J17" i="16" s="1"/>
  <c r="D32" i="16"/>
  <c r="J32" i="16" s="1"/>
  <c r="N32" i="16" s="1"/>
  <c r="R6" i="16" s="1"/>
  <c r="K156" i="16"/>
  <c r="I174" i="16"/>
  <c r="F102" i="16"/>
  <c r="F114" i="16" s="1"/>
  <c r="R27" i="1"/>
  <c r="N27" i="16"/>
  <c r="R7" i="16" s="1"/>
  <c r="S28" i="1"/>
  <c r="N33" i="16"/>
  <c r="S6" i="16" s="1"/>
  <c r="N7" i="18"/>
  <c r="N15" i="18" s="1"/>
  <c r="J7" i="18"/>
  <c r="L7" i="18" s="1"/>
  <c r="M7" i="18" s="1"/>
  <c r="D18" i="16"/>
  <c r="I7" i="14"/>
  <c r="L7" i="14" s="1"/>
  <c r="J7" i="14"/>
  <c r="M7" i="14" s="1"/>
  <c r="H7" i="14"/>
  <c r="K7" i="14" s="1"/>
  <c r="H26" i="14"/>
  <c r="K26" i="14" s="1"/>
  <c r="N26" i="14" s="1"/>
  <c r="J26" i="14"/>
  <c r="M26" i="14" s="1"/>
  <c r="I26" i="14"/>
  <c r="L26" i="14" s="1"/>
  <c r="O26" i="14" s="1"/>
  <c r="O25" i="14"/>
  <c r="D22" i="16"/>
  <c r="D28" i="16"/>
  <c r="J28" i="16" s="1"/>
  <c r="M6" i="18"/>
  <c r="M6" i="19"/>
  <c r="B27" i="14"/>
  <c r="D27" i="14" s="1"/>
  <c r="N7" i="19"/>
  <c r="O7" i="19" s="1"/>
  <c r="J7" i="19"/>
  <c r="L7" i="19" s="1"/>
  <c r="M7" i="19" s="1"/>
  <c r="R6" i="1"/>
  <c r="N25" i="14"/>
  <c r="D30" i="16"/>
  <c r="J30" i="16" s="1"/>
  <c r="D25" i="16"/>
  <c r="J25" i="16" s="1"/>
  <c r="D40" i="16"/>
  <c r="J40" i="16" s="1"/>
  <c r="D35" i="16"/>
  <c r="J35" i="16" s="1"/>
  <c r="D20" i="16"/>
  <c r="V17" i="1"/>
  <c r="F5" i="16"/>
  <c r="F15" i="16"/>
  <c r="J15" i="16" s="1"/>
  <c r="F10" i="16"/>
  <c r="J10" i="16" s="1"/>
  <c r="V4" i="1"/>
  <c r="D72" i="16" l="1"/>
  <c r="R28" i="1"/>
  <c r="D42" i="16"/>
  <c r="D66" i="16" s="1"/>
  <c r="N15" i="19"/>
  <c r="C8" i="19" s="1"/>
  <c r="J8" i="19" s="1"/>
  <c r="L8" i="19" s="1"/>
  <c r="M8" i="19" s="1"/>
  <c r="M15" i="19" s="1"/>
  <c r="O7" i="18"/>
  <c r="K174" i="16"/>
  <c r="U24" i="1"/>
  <c r="V24" i="1" s="1"/>
  <c r="N15" i="16"/>
  <c r="U9" i="16" s="1"/>
  <c r="K12" i="16"/>
  <c r="G56" i="16" s="1"/>
  <c r="F82" i="16"/>
  <c r="U29" i="1"/>
  <c r="V29" i="1" s="1"/>
  <c r="N40" i="16"/>
  <c r="U4" i="16" s="1"/>
  <c r="J18" i="16"/>
  <c r="D73" i="16"/>
  <c r="S27" i="1"/>
  <c r="N28" i="16"/>
  <c r="S7" i="16" s="1"/>
  <c r="U26" i="1"/>
  <c r="N25" i="16"/>
  <c r="U8" i="16" s="1"/>
  <c r="U28" i="1"/>
  <c r="N35" i="16"/>
  <c r="U6" i="16" s="1"/>
  <c r="R25" i="1"/>
  <c r="N17" i="16"/>
  <c r="R5" i="16" s="1"/>
  <c r="U23" i="1"/>
  <c r="V23" i="1" s="1"/>
  <c r="N10" i="16"/>
  <c r="U10" i="16" s="1"/>
  <c r="D75" i="16"/>
  <c r="D91" i="16" s="1"/>
  <c r="E152" i="16" s="1"/>
  <c r="U27" i="1"/>
  <c r="N30" i="16"/>
  <c r="U7" i="16" s="1"/>
  <c r="D43" i="16"/>
  <c r="D67" i="16" s="1"/>
  <c r="M15" i="18"/>
  <c r="S6" i="1"/>
  <c r="N7" i="14"/>
  <c r="N12" i="14" s="1"/>
  <c r="K11" i="14"/>
  <c r="P7" i="14"/>
  <c r="P12" i="14" s="1"/>
  <c r="M11" i="14"/>
  <c r="P26" i="14"/>
  <c r="O7" i="14"/>
  <c r="L11" i="14"/>
  <c r="I27" i="14"/>
  <c r="L27" i="14" s="1"/>
  <c r="O27" i="14" s="1"/>
  <c r="H27" i="14"/>
  <c r="K27" i="14" s="1"/>
  <c r="J27" i="14"/>
  <c r="M27" i="14" s="1"/>
  <c r="P27" i="14" s="1"/>
  <c r="L15" i="18"/>
  <c r="J5" i="16"/>
  <c r="F45" i="16"/>
  <c r="D45" i="16"/>
  <c r="J20" i="16"/>
  <c r="V14" i="1"/>
  <c r="D89" i="16" l="1"/>
  <c r="E148" i="16" s="1"/>
  <c r="E166" i="16" s="1"/>
  <c r="V28" i="1"/>
  <c r="B28" i="14"/>
  <c r="D28" i="14" s="1"/>
  <c r="J28" i="14" s="1"/>
  <c r="M28" i="14" s="1"/>
  <c r="O8" i="19"/>
  <c r="R8" i="1"/>
  <c r="R10" i="1" s="1"/>
  <c r="E170" i="16"/>
  <c r="K152" i="16"/>
  <c r="K170" i="16" s="1"/>
  <c r="F97" i="16"/>
  <c r="G159" i="16" s="1"/>
  <c r="F83" i="16"/>
  <c r="D104" i="16"/>
  <c r="D116" i="16" s="1"/>
  <c r="D76" i="16"/>
  <c r="V27" i="1"/>
  <c r="U25" i="1"/>
  <c r="N20" i="16"/>
  <c r="U5" i="16" s="1"/>
  <c r="S25" i="1"/>
  <c r="N18" i="16"/>
  <c r="S5" i="16" s="1"/>
  <c r="D47" i="16"/>
  <c r="D61" i="16" s="1"/>
  <c r="D69" i="16"/>
  <c r="F47" i="16"/>
  <c r="E61" i="16" s="1"/>
  <c r="F69" i="16"/>
  <c r="U22" i="1"/>
  <c r="N5" i="16"/>
  <c r="U11" i="16" s="1"/>
  <c r="N27" i="14"/>
  <c r="O12" i="14"/>
  <c r="L15" i="19"/>
  <c r="C24" i="3"/>
  <c r="J24" i="3" s="1"/>
  <c r="D102" i="16" l="1"/>
  <c r="D114" i="16" s="1"/>
  <c r="H28" i="14"/>
  <c r="K28" i="14" s="1"/>
  <c r="N28" i="14" s="1"/>
  <c r="N31" i="14" s="1"/>
  <c r="I28" i="14"/>
  <c r="L28" i="14" s="1"/>
  <c r="O28" i="14" s="1"/>
  <c r="O31" i="14" s="1"/>
  <c r="S16" i="1" s="1"/>
  <c r="H23" i="16" s="1"/>
  <c r="H73" i="16" s="1"/>
  <c r="U30" i="1"/>
  <c r="F110" i="16"/>
  <c r="F122" i="16" s="1"/>
  <c r="G177" i="16"/>
  <c r="K159" i="16"/>
  <c r="V25" i="1"/>
  <c r="P28" i="14"/>
  <c r="P31" i="14" s="1"/>
  <c r="M30" i="14"/>
  <c r="N24" i="3"/>
  <c r="O24" i="3" s="1"/>
  <c r="C25" i="3" s="1"/>
  <c r="J25" i="3" s="1"/>
  <c r="L24" i="3"/>
  <c r="M24" i="3" s="1"/>
  <c r="J23" i="16" l="1"/>
  <c r="S26" i="1" s="1"/>
  <c r="S8" i="1"/>
  <c r="S10" i="1" s="1"/>
  <c r="L30" i="14"/>
  <c r="K30" i="14"/>
  <c r="K177" i="16"/>
  <c r="N25" i="3"/>
  <c r="O25" i="3" s="1"/>
  <c r="C26" i="3" s="1"/>
  <c r="J26" i="3" s="1"/>
  <c r="L25" i="3"/>
  <c r="M25" i="3" s="1"/>
  <c r="N23" i="16" l="1"/>
  <c r="S8" i="16" s="1"/>
  <c r="S18" i="1"/>
  <c r="H3" i="16" s="1"/>
  <c r="H80" i="16" s="1"/>
  <c r="L26" i="3"/>
  <c r="N26" i="3"/>
  <c r="N33" i="3" s="1"/>
  <c r="J6" i="3" s="1"/>
  <c r="L6" i="3" s="1"/>
  <c r="M6" i="3" s="1"/>
  <c r="J3" i="16" l="1"/>
  <c r="S22" i="1" s="1"/>
  <c r="S30" i="1" s="1"/>
  <c r="H43" i="16"/>
  <c r="H67" i="16" s="1"/>
  <c r="L33" i="3"/>
  <c r="R18" i="1" s="1"/>
  <c r="H2" i="16" s="1"/>
  <c r="H79" i="16" s="1"/>
  <c r="H95" i="16" s="1"/>
  <c r="I155" i="16" s="1"/>
  <c r="M26" i="3"/>
  <c r="M33" i="3" s="1"/>
  <c r="R16" i="1" s="1"/>
  <c r="N6" i="3"/>
  <c r="O6" i="3" s="1"/>
  <c r="C7" i="3" s="1"/>
  <c r="O26" i="3"/>
  <c r="N3" i="16" l="1"/>
  <c r="S11" i="16" s="1"/>
  <c r="I173" i="16"/>
  <c r="K155" i="16"/>
  <c r="H83" i="16"/>
  <c r="K83" i="16" s="1"/>
  <c r="H22" i="16"/>
  <c r="J2" i="16"/>
  <c r="N2" i="16" s="1"/>
  <c r="R11" i="16" s="1"/>
  <c r="V8" i="1"/>
  <c r="V18" i="1"/>
  <c r="V6" i="1"/>
  <c r="N7" i="3"/>
  <c r="J7" i="3"/>
  <c r="L7" i="3" s="1"/>
  <c r="M7" i="3" s="1"/>
  <c r="K173" i="16" l="1"/>
  <c r="L157" i="16"/>
  <c r="H108" i="16"/>
  <c r="H120" i="16" s="1"/>
  <c r="J22" i="16"/>
  <c r="J42" i="16" s="1"/>
  <c r="H72" i="16"/>
  <c r="H42" i="16"/>
  <c r="R22" i="1"/>
  <c r="V16" i="1"/>
  <c r="O7" i="3"/>
  <c r="I12" i="12"/>
  <c r="H13" i="12" s="1"/>
  <c r="H11" i="12" s="1"/>
  <c r="K76" i="16" l="1"/>
  <c r="K85" i="16" s="1"/>
  <c r="D84" i="16" s="1"/>
  <c r="H76" i="16"/>
  <c r="L175" i="16"/>
  <c r="H89" i="16"/>
  <c r="I148" i="16" s="1"/>
  <c r="R26" i="1"/>
  <c r="V26" i="1" s="1"/>
  <c r="N22" i="16"/>
  <c r="R8" i="16" s="1"/>
  <c r="H47" i="16"/>
  <c r="F61" i="16" s="1"/>
  <c r="H66" i="16"/>
  <c r="G13" i="12"/>
  <c r="V22" i="1"/>
  <c r="G11" i="12"/>
  <c r="I13" i="12"/>
  <c r="I84" i="16" l="1"/>
  <c r="G84" i="16"/>
  <c r="F84" i="16"/>
  <c r="H84" i="16"/>
  <c r="E84" i="16"/>
  <c r="I166" i="16"/>
  <c r="K148" i="16"/>
  <c r="I77" i="16"/>
  <c r="H102" i="16"/>
  <c r="H114" i="16" s="1"/>
  <c r="E77" i="16"/>
  <c r="G77" i="16"/>
  <c r="F77" i="16"/>
  <c r="D77" i="16"/>
  <c r="H77" i="16"/>
  <c r="R30" i="1"/>
  <c r="V30" i="1" s="1"/>
  <c r="W30" i="1" s="1"/>
  <c r="V7" i="1"/>
  <c r="V10" i="1" s="1"/>
  <c r="K2" i="16"/>
  <c r="E56" i="16" s="1"/>
  <c r="K7" i="16"/>
  <c r="H56" i="16" s="1"/>
  <c r="W9" i="16"/>
  <c r="K17" i="16"/>
  <c r="D57" i="16" s="1"/>
  <c r="K22" i="16"/>
  <c r="E57" i="16" s="1"/>
  <c r="K27" i="16"/>
  <c r="H57" i="16" s="1"/>
  <c r="K32" i="16"/>
  <c r="G57" i="16" s="1"/>
  <c r="J44" i="16"/>
  <c r="K37" i="16"/>
  <c r="F57" i="16" s="1"/>
  <c r="J43" i="16"/>
  <c r="J45" i="16"/>
  <c r="K84" i="16" l="1"/>
  <c r="L150" i="16"/>
  <c r="K166" i="16"/>
  <c r="K77" i="16"/>
  <c r="I59" i="16"/>
  <c r="M32" i="16"/>
  <c r="X6" i="16" s="1"/>
  <c r="W6" i="16"/>
  <c r="M27" i="16"/>
  <c r="X7" i="16" s="1"/>
  <c r="W7" i="16"/>
  <c r="M7" i="16"/>
  <c r="X10" i="16" s="1"/>
  <c r="W10" i="16"/>
  <c r="M37" i="16"/>
  <c r="X4" i="16" s="1"/>
  <c r="W4" i="16"/>
  <c r="M22" i="16"/>
  <c r="X8" i="16" s="1"/>
  <c r="W8" i="16"/>
  <c r="M17" i="16"/>
  <c r="X5" i="16" s="1"/>
  <c r="W5" i="16"/>
  <c r="M2" i="16"/>
  <c r="X11" i="16" s="1"/>
  <c r="W11" i="16"/>
  <c r="J47" i="16"/>
  <c r="M12" i="16"/>
  <c r="X9" i="16" s="1"/>
  <c r="K47" i="16"/>
  <c r="M47" i="16" s="1"/>
  <c r="L168" i="16" l="1"/>
  <c r="M154" i="16"/>
  <c r="M172" i="16" s="1"/>
  <c r="G49" i="16"/>
  <c r="D49" i="16"/>
  <c r="I49" i="16"/>
  <c r="E49" i="16"/>
  <c r="H49" i="16"/>
  <c r="F49" i="16"/>
  <c r="L22" i="16"/>
  <c r="L2" i="16"/>
  <c r="L37" i="16"/>
  <c r="L17" i="16"/>
  <c r="L32" i="16"/>
  <c r="L27" i="16"/>
  <c r="L7" i="16"/>
  <c r="L12" i="16"/>
  <c r="C9" i="3"/>
  <c r="N9" i="3" l="1"/>
  <c r="J9" i="3"/>
  <c r="L9" i="3" s="1"/>
  <c r="M9" i="3" s="1"/>
  <c r="O9" i="3" l="1"/>
  <c r="N8" i="3"/>
  <c r="N15" i="3" s="1"/>
  <c r="C8" i="3" s="1"/>
  <c r="J8" i="3" l="1"/>
  <c r="L8" i="3" s="1"/>
  <c r="O8" i="3"/>
  <c r="L15" i="3" l="1"/>
  <c r="M8" i="3"/>
  <c r="M15" i="3" s="1"/>
  <c r="L83" i="16" l="1"/>
  <c r="L98" i="16"/>
  <c r="D133" i="16" l="1"/>
  <c r="E128" i="16"/>
  <c r="E134" i="16"/>
  <c r="D134" i="16"/>
  <c r="G133" i="16"/>
  <c r="G127" i="16"/>
  <c r="E133" i="16"/>
  <c r="E127" i="16"/>
  <c r="I134" i="16"/>
  <c r="I128" i="16"/>
  <c r="I127" i="16"/>
  <c r="G134" i="16"/>
  <c r="G128" i="16"/>
  <c r="I133" i="16"/>
  <c r="D132" i="16"/>
  <c r="E132" i="16"/>
  <c r="G132" i="16"/>
  <c r="H133" i="16"/>
  <c r="E126" i="16"/>
  <c r="E136" i="16" s="1"/>
  <c r="F128" i="16"/>
  <c r="F133" i="16"/>
  <c r="H134" i="16"/>
  <c r="I132" i="16"/>
  <c r="H128" i="16"/>
  <c r="G126" i="16"/>
  <c r="G136" i="16" s="1"/>
  <c r="D127" i="16"/>
  <c r="I126" i="16"/>
  <c r="I136" i="16" s="1"/>
  <c r="F127" i="16"/>
  <c r="F132" i="16"/>
  <c r="H127" i="16"/>
  <c r="F126" i="16"/>
  <c r="D128" i="16"/>
  <c r="F134" i="16"/>
  <c r="D126" i="16"/>
  <c r="D136" i="16" s="1"/>
  <c r="H132" i="16"/>
  <c r="H126" i="16"/>
  <c r="H136" i="16" s="1"/>
  <c r="F136"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Fiona Zakaria</author>
  </authors>
  <commentList>
    <comment ref="D1" authorId="0" shapeId="0" xr:uid="{00000000-0006-0000-0C00-000001000000}">
      <text>
        <r>
          <rPr>
            <b/>
            <sz val="9"/>
            <color indexed="81"/>
            <rFont val="Tahoma"/>
            <charset val="1"/>
          </rPr>
          <t>Fiona Zakaria:</t>
        </r>
        <r>
          <rPr>
            <sz val="9"/>
            <color indexed="81"/>
            <rFont val="Tahoma"/>
            <charset val="1"/>
          </rPr>
          <t xml:space="preserve">
Lubigi treats 20% of WW</t>
        </r>
      </text>
    </comment>
  </commentList>
</comments>
</file>

<file path=xl/sharedStrings.xml><?xml version="1.0" encoding="utf-8"?>
<sst xmlns="http://schemas.openxmlformats.org/spreadsheetml/2006/main" count="1110" uniqueCount="441">
  <si>
    <t>Sanitation data</t>
  </si>
  <si>
    <t>%</t>
  </si>
  <si>
    <t>Nr</t>
  </si>
  <si>
    <t>Results tables</t>
  </si>
  <si>
    <t>Population:</t>
  </si>
  <si>
    <t>Total emissions kg CO2e per year by process</t>
  </si>
  <si>
    <t>Direct CH4</t>
  </si>
  <si>
    <t>Direct NO2</t>
  </si>
  <si>
    <t>Operation CO2</t>
  </si>
  <si>
    <t>Embedded carbon</t>
  </si>
  <si>
    <t>Total</t>
  </si>
  <si>
    <t>Containment</t>
  </si>
  <si>
    <t>WW Treated:</t>
  </si>
  <si>
    <t>FS Transport</t>
  </si>
  <si>
    <t>FS Contained not emptied</t>
  </si>
  <si>
    <t>FS Treatment</t>
  </si>
  <si>
    <t>FS Treated:</t>
  </si>
  <si>
    <t>WW Transport</t>
  </si>
  <si>
    <t>WW Not treated</t>
  </si>
  <si>
    <t>WW Treatment</t>
  </si>
  <si>
    <t>FS not treated</t>
  </si>
  <si>
    <t>Unsafe discharge</t>
  </si>
  <si>
    <t>WW not delivered</t>
  </si>
  <si>
    <t>FS not delivered</t>
  </si>
  <si>
    <t>FS not contained</t>
  </si>
  <si>
    <t>Total emissions kg CO2e per capita year by process</t>
  </si>
  <si>
    <t>OD</t>
  </si>
  <si>
    <t>Number of people</t>
  </si>
  <si>
    <t>Check</t>
  </si>
  <si>
    <t>Emptying frequency (Yrs)</t>
  </si>
  <si>
    <t>Years</t>
  </si>
  <si>
    <t>Percentage of FS not contained discharging to open drains</t>
  </si>
  <si>
    <t>Emission data</t>
  </si>
  <si>
    <r>
      <t>GWP CH</t>
    </r>
    <r>
      <rPr>
        <b/>
        <vertAlign val="subscript"/>
        <sz val="8"/>
        <color theme="1"/>
        <rFont val="Calibri"/>
        <family val="2"/>
      </rPr>
      <t xml:space="preserve">4  </t>
    </r>
  </si>
  <si>
    <r>
      <t>GWP NO</t>
    </r>
    <r>
      <rPr>
        <b/>
        <vertAlign val="subscript"/>
        <sz val="8"/>
        <color theme="1"/>
        <rFont val="Calibri"/>
        <family val="2"/>
      </rPr>
      <t>2</t>
    </r>
  </si>
  <si>
    <t>Bricks</t>
  </si>
  <si>
    <t>EF</t>
  </si>
  <si>
    <t>Concrete</t>
  </si>
  <si>
    <t>Mortar</t>
  </si>
  <si>
    <t>HDPE</t>
  </si>
  <si>
    <t>Contained</t>
  </si>
  <si>
    <t>Not contained</t>
  </si>
  <si>
    <t>Delivered to Treatment</t>
  </si>
  <si>
    <t>Not delivered to Treatment (DISCHARGED)</t>
  </si>
  <si>
    <t>Treated</t>
  </si>
  <si>
    <t>Not treated (DISCHARGED)</t>
  </si>
  <si>
    <t>Total emissions by source</t>
  </si>
  <si>
    <t>Total emissions</t>
  </si>
  <si>
    <t xml:space="preserve">% </t>
  </si>
  <si>
    <t>per capita emissions</t>
  </si>
  <si>
    <t>WW treated</t>
  </si>
  <si>
    <t>Methane (Direct)</t>
  </si>
  <si>
    <t>Nitrous Oxide (Direct)</t>
  </si>
  <si>
    <t>Operational carbon</t>
  </si>
  <si>
    <t>Per capita</t>
  </si>
  <si>
    <r>
      <t>(a)</t>
    </r>
    <r>
      <rPr>
        <sz val="7"/>
        <color theme="1"/>
        <rFont val="Times New Roman"/>
        <family val="1"/>
      </rPr>
      <t xml:space="preserve">    </t>
    </r>
    <r>
      <rPr>
        <sz val="10"/>
        <color theme="1"/>
        <rFont val="Times New Roman"/>
        <family val="1"/>
      </rPr>
      <t>Excreta in onsite systems (pit latrines, septic tanks and containers) with road based transport</t>
    </r>
  </si>
  <si>
    <t>Not safely contained at the household level</t>
  </si>
  <si>
    <t>Embedded CO2</t>
  </si>
  <si>
    <t xml:space="preserve">Safely contained and stored at household level </t>
  </si>
  <si>
    <t>Collected at household level, dumped untreated</t>
  </si>
  <si>
    <t>WW not treated</t>
  </si>
  <si>
    <t>Collected at household level, delivered to treatment, discharged untreated</t>
  </si>
  <si>
    <t>Collected at household level, delivered to treatment, treated and discharged</t>
  </si>
  <si>
    <t>(b) Excreta in offsite systems with sewer based transport</t>
  </si>
  <si>
    <t>Leaking from sewers/ not delivered to treatment</t>
  </si>
  <si>
    <t>Delivered to treatment, discharged untreated</t>
  </si>
  <si>
    <t>Delivered to treatment, treated and dsicharged</t>
  </si>
  <si>
    <t>FS Contained, not emptied</t>
  </si>
  <si>
    <t>FS contained/ not contained, transported and treated</t>
  </si>
  <si>
    <t>FS Not treated</t>
  </si>
  <si>
    <t>FS emptied not delivered</t>
  </si>
  <si>
    <t>FS Not contained</t>
  </si>
  <si>
    <t>SUMMARY</t>
  </si>
  <si>
    <t>Containment failed</t>
  </si>
  <si>
    <t>Delivered to treatment</t>
  </si>
  <si>
    <t>Dumped or leaking before reaching treatment</t>
  </si>
  <si>
    <t>Bypassing treatment and dumped</t>
  </si>
  <si>
    <t>TOTAL</t>
  </si>
  <si>
    <t>% of total</t>
  </si>
  <si>
    <t>Contained onsite</t>
  </si>
  <si>
    <t>Not delivered to treatment</t>
  </si>
  <si>
    <t>Not treated (discharged at treatment)</t>
  </si>
  <si>
    <t>Wastewater (offsite)</t>
  </si>
  <si>
    <t>Feacal sludge (onsite)</t>
  </si>
  <si>
    <t>Transport</t>
  </si>
  <si>
    <t>Treatment</t>
  </si>
  <si>
    <t xml:space="preserve">Safely managed </t>
  </si>
  <si>
    <t>Discharging to environment</t>
  </si>
  <si>
    <t>(a) onsite</t>
  </si>
  <si>
    <t>(a) offsite</t>
  </si>
  <si>
    <t>Emptying / transport</t>
  </si>
  <si>
    <t>Direct</t>
  </si>
  <si>
    <t>CALCULATE Dia of load circle</t>
  </si>
  <si>
    <t>Leakage into drains</t>
  </si>
  <si>
    <t>Dumping/ leaking</t>
  </si>
  <si>
    <t>Bypassing treatment</t>
  </si>
  <si>
    <t>Tables to generate sensitivity results.</t>
  </si>
  <si>
    <r>
      <t>Emission category</t>
    </r>
    <r>
      <rPr>
        <b/>
        <vertAlign val="superscript"/>
        <sz val="10"/>
        <color theme="1"/>
        <rFont val="Times New Roman"/>
        <family val="1"/>
      </rPr>
      <t>a</t>
    </r>
  </si>
  <si>
    <r>
      <t>Total emissions by category (tCO</t>
    </r>
    <r>
      <rPr>
        <b/>
        <vertAlign val="subscript"/>
        <sz val="10"/>
        <color theme="1"/>
        <rFont val="Times New Roman"/>
        <family val="1"/>
      </rPr>
      <t>2</t>
    </r>
    <r>
      <rPr>
        <b/>
        <sz val="10"/>
        <color theme="1"/>
        <rFont val="Times New Roman"/>
        <family val="1"/>
      </rPr>
      <t>e)</t>
    </r>
  </si>
  <si>
    <r>
      <t>(1)</t>
    </r>
    <r>
      <rPr>
        <b/>
        <sz val="7"/>
        <color theme="1"/>
        <rFont val="Times New Roman"/>
        <family val="1"/>
      </rPr>
      <t xml:space="preserve">    </t>
    </r>
    <r>
      <rPr>
        <b/>
        <sz val="10"/>
        <color theme="1"/>
        <rFont val="Times New Roman"/>
        <family val="1"/>
      </rPr>
      <t>Containment</t>
    </r>
  </si>
  <si>
    <r>
      <t>(2)</t>
    </r>
    <r>
      <rPr>
        <b/>
        <sz val="7"/>
        <color theme="1"/>
        <rFont val="Times New Roman"/>
        <family val="1"/>
      </rPr>
      <t xml:space="preserve">    </t>
    </r>
    <r>
      <rPr>
        <b/>
        <sz val="10"/>
        <color theme="1"/>
        <rFont val="Times New Roman"/>
        <family val="1"/>
      </rPr>
      <t>Emptying/ emptying and transport</t>
    </r>
  </si>
  <si>
    <r>
      <t>(3)</t>
    </r>
    <r>
      <rPr>
        <b/>
        <sz val="7"/>
        <color theme="1"/>
        <rFont val="Times New Roman"/>
        <family val="1"/>
      </rPr>
      <t xml:space="preserve">    </t>
    </r>
    <r>
      <rPr>
        <b/>
        <sz val="10"/>
        <color theme="1"/>
        <rFont val="Times New Roman"/>
        <family val="1"/>
      </rPr>
      <t>Treatment</t>
    </r>
  </si>
  <si>
    <r>
      <t>(a)</t>
    </r>
    <r>
      <rPr>
        <b/>
        <sz val="7"/>
        <color theme="1"/>
        <rFont val="Times New Roman"/>
        <family val="1"/>
      </rPr>
      <t xml:space="preserve">    </t>
    </r>
    <r>
      <rPr>
        <b/>
        <sz val="10"/>
        <color theme="1"/>
        <rFont val="Times New Roman"/>
        <family val="1"/>
      </rPr>
      <t>Onsite systems (pit latrines, septic tanks and containers with road based transport)</t>
    </r>
  </si>
  <si>
    <t>Direct (D)</t>
  </si>
  <si>
    <t>Contained:</t>
  </si>
  <si>
    <t>Delivered:</t>
  </si>
  <si>
    <t>Treated:</t>
  </si>
  <si>
    <t>Not contained:</t>
  </si>
  <si>
    <t>Not delivered:</t>
  </si>
  <si>
    <t>Not treated:</t>
  </si>
  <si>
    <t>Operational (O)</t>
  </si>
  <si>
    <t>All treatment:</t>
  </si>
  <si>
    <t>Embedded carbon (E)</t>
  </si>
  <si>
    <t>All systems:</t>
  </si>
  <si>
    <t>All trucks:</t>
  </si>
  <si>
    <t>(b)   Offsite systems (with sewer based transport)</t>
  </si>
  <si>
    <t>All sewers:</t>
  </si>
  <si>
    <t>Emission category</t>
  </si>
  <si>
    <t>Total emissions by category (tCO2e)</t>
  </si>
  <si>
    <t>(1)    Containment</t>
  </si>
  <si>
    <t>(2)    Emptying/ emptying and transport</t>
  </si>
  <si>
    <t>(3)    Treatment</t>
  </si>
  <si>
    <t>(a)    Onsite systems (pit latrines, septic tanks and containers with road based transport)</t>
  </si>
  <si>
    <t>Graphs</t>
  </si>
  <si>
    <t>#</t>
  </si>
  <si>
    <t>Musabe, 2013 - Toilet mapping in Kampala</t>
  </si>
  <si>
    <t>Containment technology</t>
  </si>
  <si>
    <t>Number of users</t>
  </si>
  <si>
    <t>Number of facilities</t>
  </si>
  <si>
    <t xml:space="preserve">Assumptions and notes about variations in each type of containment technology </t>
  </si>
  <si>
    <t>Un-lined pit latrines</t>
  </si>
  <si>
    <t xml:space="preserve">20% of un-lined pits (ULL1) are assumed to be in areas where either the groundwater table submerges faecal sludge. </t>
  </si>
  <si>
    <t xml:space="preserve">40% of un-lined pits (ULL2) are assumed to account for shared facilities above the water table in the rainy season. Surface water infiltration and additional water expelled into pits from users washing practices will lead to higher moisture contents. </t>
  </si>
  <si>
    <t xml:space="preserve">40% of un-lined pits (ULL3) are assumed to account for household facilities above the water table during the dry season. Less moisture will be expelled into the pit. However DO levels may be lower than in other pits (Kimuli et al., 2016) which could be explained by the lack of pore water pressure causing the sludge to compress (Johnson et al., 2019).  </t>
  </si>
  <si>
    <t>Lined pit latrines</t>
  </si>
  <si>
    <t xml:space="preserve">25% of lined latrines (LL1) are assumed to be shared and to have never been emptied. Liquids expelled into them will be retained unless they evaporate and migrate from the pit. This leads to sludge’s having a higher moisture content with anoxic conditions prevailing in the bottom regions of the pit.  </t>
  </si>
  <si>
    <t xml:space="preserve">45% of lined latrines (LL2) are assumed to be shared and emptied once full. If sludge is emptied regularly before the pit is completely full the extent of anoxic reducing conditions will be lower and new sludge may not have fully degraded. </t>
  </si>
  <si>
    <t xml:space="preserve">10% of lined latrines (LL3) are assumed to be at a household level and have never been emptied. At a household level smaller amounts of liquid will be expelled into the pit. </t>
  </si>
  <si>
    <t xml:space="preserve">20% of lined latrines (LL4) are assumed to be at a household level and to be emptied once full. </t>
  </si>
  <si>
    <t>Septic tank</t>
  </si>
  <si>
    <r>
      <t xml:space="preserve">As little information is known about the environmental conditions and chemical characteristics within septic tanks in Kampala the MCF value was chosen as a balance between the recommended IPCC value (0.5) and the value obtained (0.22) from the Diaz-Valbuena et al., 2011 study in the US. The septic tanks used in the US study may not be directly comparable to those in Kampala, in addition and temperatures in Kampala should lead to greater emissions. </t>
    </r>
    <r>
      <rPr>
        <sz val="8"/>
        <color rgb="FF44546A"/>
        <rFont val="Calibri"/>
        <family val="2"/>
        <scheme val="minor"/>
      </rPr>
      <t xml:space="preserve">Reasons for the MCF being lower than that of moist anoxic pits are discussed in Johnson et al., 2018.!!! </t>
    </r>
    <r>
      <rPr>
        <sz val="8"/>
        <color theme="1"/>
        <rFont val="Calibri"/>
        <family val="2"/>
        <scheme val="minor"/>
      </rPr>
      <t xml:space="preserve"> </t>
    </r>
  </si>
  <si>
    <t>Flush toilet connected to pits</t>
  </si>
  <si>
    <t>Flush toilets result in large amounts of water being added to pits.</t>
  </si>
  <si>
    <t>50% of flush toilets (FTL1) are assumed to be connected to un-lined pits.</t>
  </si>
  <si>
    <t>50% of flush toilets (FTL2) are assumed to be connected to lined pits</t>
  </si>
  <si>
    <t xml:space="preserve">Emptying frequency varies between 0.5 to 5 years (assumed 3 years on average), variations in season and shared facilities were not considered. </t>
  </si>
  <si>
    <t>Composting latrine</t>
  </si>
  <si>
    <t xml:space="preserve">Composting latrines are assumed to be fully sealed and include urine diversion. Users are encouraged to add additional material to pits which reduces moisture and leads to optimal composting conditions. These factors lead to largely aerobic conditions within the pit. </t>
  </si>
  <si>
    <t>No facility</t>
  </si>
  <si>
    <t xml:space="preserve">Residents with no facility are assumed to practice open defecation. </t>
  </si>
  <si>
    <t xml:space="preserve">33% of excreta is assumed to enter open drains during the rainy season (NF1). </t>
  </si>
  <si>
    <t>33% of excreta is assumed to enter open drains during the dry season (NF2).</t>
  </si>
  <si>
    <t xml:space="preserve">Although IPCC guidelines state open sewers should have a MCF of 0.5, open drains in Kampala are relatively small and assumed to often be an aerobic environments comparable to the top layers in pits. The rainy season will enhance the moisture content of sludge and may lead to a more anoxic environment. </t>
  </si>
  <si>
    <t xml:space="preserve">The remaining 33% of excreta is assumed to remain in the open environment and degrade mostly aerobically (NF3). </t>
  </si>
  <si>
    <t>Flush toilet connected to sewer</t>
  </si>
  <si>
    <r>
      <t>CH</t>
    </r>
    <r>
      <rPr>
        <vertAlign val="subscript"/>
        <sz val="9"/>
        <color theme="1"/>
        <rFont val="Calibri"/>
        <family val="2"/>
        <scheme val="minor"/>
      </rPr>
      <t>4</t>
    </r>
    <r>
      <rPr>
        <sz val="9"/>
        <color theme="1"/>
        <rFont val="Calibri"/>
        <family val="2"/>
        <scheme val="minor"/>
      </rPr>
      <t xml:space="preserve"> and N</t>
    </r>
    <r>
      <rPr>
        <vertAlign val="subscript"/>
        <sz val="9"/>
        <color theme="1"/>
        <rFont val="Calibri"/>
        <family val="2"/>
        <scheme val="minor"/>
      </rPr>
      <t>2</t>
    </r>
    <r>
      <rPr>
        <sz val="9"/>
        <color theme="1"/>
        <rFont val="Calibri"/>
        <family val="2"/>
        <scheme val="minor"/>
      </rPr>
      <t>O emission by types of containment (kg CO</t>
    </r>
    <r>
      <rPr>
        <vertAlign val="subscript"/>
        <sz val="9"/>
        <color theme="1"/>
        <rFont val="Calibri"/>
        <family val="2"/>
        <scheme val="minor"/>
      </rPr>
      <t>2</t>
    </r>
    <r>
      <rPr>
        <sz val="9"/>
        <color theme="1"/>
        <rFont val="Calibri"/>
        <family val="2"/>
        <scheme val="minor"/>
      </rPr>
      <t>e per capita per day)</t>
    </r>
  </si>
  <si>
    <t>Sensitivity analysis numbers</t>
  </si>
  <si>
    <t>CH4</t>
  </si>
  <si>
    <t>N2O</t>
  </si>
  <si>
    <t>MCF</t>
  </si>
  <si>
    <t>MCF + 10%</t>
  </si>
  <si>
    <t>MCF+25%</t>
  </si>
  <si>
    <t>MCF-10*</t>
  </si>
  <si>
    <t>MCF-25%</t>
  </si>
  <si>
    <t>NO2EF</t>
  </si>
  <si>
    <t>EF+10%</t>
  </si>
  <si>
    <t>EF+25%</t>
  </si>
  <si>
    <t>EF-10%</t>
  </si>
  <si>
    <t>EF-25%</t>
  </si>
  <si>
    <t>Classification</t>
  </si>
  <si>
    <t>Emission</t>
  </si>
  <si>
    <t>Methane</t>
  </si>
  <si>
    <t>Nitrous oxide</t>
  </si>
  <si>
    <t>Unlined Pit</t>
  </si>
  <si>
    <t>groundwater table submerges faecal sludge</t>
  </si>
  <si>
    <t>A</t>
  </si>
  <si>
    <t>groundwater table is above contained sludge, resulting in reduced nitrification on the surface</t>
  </si>
  <si>
    <t>Below GWT</t>
  </si>
  <si>
    <t>shared facilities,above the water table in the rainy season</t>
  </si>
  <si>
    <t>B</t>
  </si>
  <si>
    <t>VIPs resulting in increased nitrification on the surface of pits</t>
  </si>
  <si>
    <t>Shared, above GWT</t>
  </si>
  <si>
    <t>above the water table during the dry season, less moisture causing the sludge to compress</t>
  </si>
  <si>
    <t>C</t>
  </si>
  <si>
    <t>simple pit,aerobic conditions exist on the sludge surface with reduced air flow (compared to VIPs),  lower the extent of aerobic conditions in the upper layers of sludge</t>
  </si>
  <si>
    <t>Individual, above GWT (dry season)</t>
  </si>
  <si>
    <t>Lined Pit</t>
  </si>
  <si>
    <t>shared and have never been emptied</t>
  </si>
  <si>
    <t>VIPs (same process as described above)</t>
  </si>
  <si>
    <t>Shared, not emptied</t>
  </si>
  <si>
    <t>shared and emptied once full</t>
  </si>
  <si>
    <t>simple pit (same process as described above)</t>
  </si>
  <si>
    <t>Shared, emptied</t>
  </si>
  <si>
    <t>household level and have never been emptied</t>
  </si>
  <si>
    <t>Indivudal, not emptied</t>
  </si>
  <si>
    <t>household level and to be emptied once full</t>
  </si>
  <si>
    <t>Indidual, emptied</t>
  </si>
  <si>
    <t xml:space="preserve">Septic Tanks </t>
  </si>
  <si>
    <t>limited references, thus mid value of what's recommended (IPCC and Diaz-Valbuena et al., 2011)</t>
  </si>
  <si>
    <t>sludge is not exposed to aerobic conditions and therefore the default factor was chosen</t>
  </si>
  <si>
    <t>Flush toilet connected to latrine</t>
  </si>
  <si>
    <t>connected to un-lined pits</t>
  </si>
  <si>
    <t>connected to un-lined simple pits</t>
  </si>
  <si>
    <t>Flush toilet to pit</t>
  </si>
  <si>
    <t>Unlined pit</t>
  </si>
  <si>
    <t>connected to lined pits</t>
  </si>
  <si>
    <t>connected to un-lined VIPs</t>
  </si>
  <si>
    <t>Unlined improved pit</t>
  </si>
  <si>
    <t>lined simple pits</t>
  </si>
  <si>
    <t>Lined simple pit</t>
  </si>
  <si>
    <t>D</t>
  </si>
  <si>
    <t>connected to lined VIPs</t>
  </si>
  <si>
    <t>Lined VIP</t>
  </si>
  <si>
    <t xml:space="preserve">Composting Latrine </t>
  </si>
  <si>
    <t>designed to reduce moistures lead to largely aerobic condition</t>
  </si>
  <si>
    <t>designed for aerobic decomposition, it is assumed nitrification can occur throughout the pit will some denitrification proceeding</t>
  </si>
  <si>
    <t>Open Defecation</t>
  </si>
  <si>
    <t>enter open drains during the rainy season</t>
  </si>
  <si>
    <t xml:space="preserve">degrade in open drains </t>
  </si>
  <si>
    <t>To open drains (rainy season)</t>
  </si>
  <si>
    <t xml:space="preserve">enter open drains during the dry season </t>
  </si>
  <si>
    <t>To open drains (dry season)</t>
  </si>
  <si>
    <t>remain in the open environment and degrade mostly aerobically</t>
  </si>
  <si>
    <t>To open ground</t>
  </si>
  <si>
    <t>Emissions rate for dumping in the environment</t>
  </si>
  <si>
    <t>Methane Emissions from Containment</t>
  </si>
  <si>
    <t>Total COD Influent (kg COD/year)</t>
  </si>
  <si>
    <t>Total Methane Emissions 
(kgCH4/year)</t>
  </si>
  <si>
    <t>Total Emissions 
(kgCO2e/year)</t>
  </si>
  <si>
    <t>Methane Emissions per capita 
(kgCH4/year)</t>
  </si>
  <si>
    <t>Total Emissions per capita
(kgCO2e/year)</t>
  </si>
  <si>
    <t>B0 Value</t>
  </si>
  <si>
    <t>Emission Factor (kgCH4/kg COD)</t>
  </si>
  <si>
    <t xml:space="preserve">Type of Technology </t>
  </si>
  <si>
    <t xml:space="preserve">Latrine Type </t>
  </si>
  <si>
    <t>Total Users (cap)</t>
  </si>
  <si>
    <t>% of each type</t>
  </si>
  <si>
    <t>Number of Users per Latrine Type (cap)</t>
  </si>
  <si>
    <t>Lower bound</t>
  </si>
  <si>
    <t>Selected value</t>
  </si>
  <si>
    <t xml:space="preserve">Upper Bound </t>
  </si>
  <si>
    <t>Percentage reduction of COD (0-100%)</t>
  </si>
  <si>
    <t>Flush toilet connected to pit</t>
  </si>
  <si>
    <t xml:space="preserve">Total number of users: </t>
  </si>
  <si>
    <t>selected value</t>
  </si>
  <si>
    <t>Upper bound</t>
  </si>
  <si>
    <t>AGGREGATE RATE</t>
  </si>
  <si>
    <t>COD influent (kgCOD/cap/year)</t>
  </si>
  <si>
    <t>Total N Influent (kg N/year)</t>
  </si>
  <si>
    <t>Total NO2 Emissions 
(kgNO2/year)</t>
  </si>
  <si>
    <t>Conversion Factor</t>
  </si>
  <si>
    <t>Emission Factor (kgNo2/kg N)</t>
  </si>
  <si>
    <t>ULL-A</t>
  </si>
  <si>
    <t>ULL-B</t>
  </si>
  <si>
    <t>ULL-C</t>
  </si>
  <si>
    <t>LLA</t>
  </si>
  <si>
    <t>LLB</t>
  </si>
  <si>
    <t>-</t>
  </si>
  <si>
    <t>ST</t>
  </si>
  <si>
    <t>FTL A</t>
  </si>
  <si>
    <t>FTL B</t>
  </si>
  <si>
    <t>FTL C</t>
  </si>
  <si>
    <t>FTL D</t>
  </si>
  <si>
    <t>CL</t>
  </si>
  <si>
    <t>NF A</t>
  </si>
  <si>
    <t>NF B</t>
  </si>
  <si>
    <t>AGGREGRATE RATE</t>
  </si>
  <si>
    <t>N influent (kgN/cap/year)</t>
  </si>
  <si>
    <t xml:space="preserve">Number of facilities </t>
  </si>
  <si>
    <t xml:space="preserve">Material </t>
  </si>
  <si>
    <t>Mass of material used per strcuture (kg)</t>
  </si>
  <si>
    <t>Total Mass 
(kg)</t>
  </si>
  <si>
    <t>Emission Factor (kgCO2/kg)</t>
  </si>
  <si>
    <t>CO2 Emissions 
(kg CO2)</t>
  </si>
  <si>
    <t>Total emissions 
(kg CO2)</t>
  </si>
  <si>
    <t>Emissions per structure 
(kg CO2)</t>
  </si>
  <si>
    <t>Design life (years)</t>
  </si>
  <si>
    <t>Emissions per year from construction of facilities (kg CO2)</t>
  </si>
  <si>
    <t>Number of persons</t>
  </si>
  <si>
    <t>kg CO2 per capita per year</t>
  </si>
  <si>
    <t>Unlined Latrines</t>
  </si>
  <si>
    <t xml:space="preserve">Bricks </t>
  </si>
  <si>
    <t xml:space="preserve">Concrete </t>
  </si>
  <si>
    <t xml:space="preserve">Lined latrines </t>
  </si>
  <si>
    <t>Septic Tank</t>
  </si>
  <si>
    <t>Not Available</t>
  </si>
  <si>
    <t>Total emissions from construction of OSS facilities 
(kg CO2):</t>
  </si>
  <si>
    <t>Total emission per year from construction (kg CO2/year):</t>
  </si>
  <si>
    <t>Carbon Emissions from Transportation  FS treated and FS not treated</t>
  </si>
  <si>
    <t>Size of Vacuum Truck</t>
  </si>
  <si>
    <t xml:space="preserve">Total no. of trips 
made a day </t>
  </si>
  <si>
    <t>No. of trips per type of vaccum truck a day</t>
  </si>
  <si>
    <t>No. of trips 
made per year</t>
  </si>
  <si>
    <t>Average Distance of trips (vkm)</t>
  </si>
  <si>
    <r>
      <t>EF (</t>
    </r>
    <r>
      <rPr>
        <sz val="8"/>
        <color theme="1"/>
        <rFont val="Arial"/>
        <family val="2"/>
      </rPr>
      <t>kgCO</t>
    </r>
    <r>
      <rPr>
        <vertAlign val="subscript"/>
        <sz val="8"/>
        <color theme="1"/>
        <rFont val="Arial"/>
        <family val="2"/>
      </rPr>
      <t>2</t>
    </r>
    <r>
      <rPr>
        <sz val="8"/>
        <color theme="1"/>
        <rFont val="Arial"/>
        <family val="2"/>
      </rPr>
      <t>/vkm</t>
    </r>
    <r>
      <rPr>
        <sz val="8"/>
        <color rgb="FF000000"/>
        <rFont val="Arial"/>
        <family val="2"/>
      </rPr>
      <t>)</t>
    </r>
  </si>
  <si>
    <r>
      <t>CO</t>
    </r>
    <r>
      <rPr>
        <vertAlign val="subscript"/>
        <sz val="8"/>
        <color rgb="FF000000"/>
        <rFont val="Arial"/>
        <family val="2"/>
      </rPr>
      <t xml:space="preserve">2 </t>
    </r>
    <r>
      <rPr>
        <sz val="8"/>
        <color theme="1"/>
        <rFont val="Arial"/>
        <family val="2"/>
      </rPr>
      <t>emissions 
(kg CO2/year)</t>
    </r>
  </si>
  <si>
    <r>
      <t>2-3.9 m</t>
    </r>
    <r>
      <rPr>
        <vertAlign val="superscript"/>
        <sz val="8"/>
        <color theme="1"/>
        <rFont val="Arial"/>
        <family val="2"/>
      </rPr>
      <t>3</t>
    </r>
  </si>
  <si>
    <r>
      <t>4-5.9m</t>
    </r>
    <r>
      <rPr>
        <vertAlign val="superscript"/>
        <sz val="8"/>
        <color theme="1"/>
        <rFont val="Arial"/>
        <family val="2"/>
      </rPr>
      <t>3</t>
    </r>
  </si>
  <si>
    <r>
      <t>6-7.9m</t>
    </r>
    <r>
      <rPr>
        <vertAlign val="superscript"/>
        <sz val="8"/>
        <color theme="1"/>
        <rFont val="Arial"/>
        <family val="2"/>
      </rPr>
      <t>3</t>
    </r>
    <r>
      <rPr>
        <sz val="8"/>
        <color theme="1"/>
        <rFont val="Arial"/>
        <family val="2"/>
      </rPr>
      <t xml:space="preserve"> </t>
    </r>
  </si>
  <si>
    <r>
      <t>8-11m</t>
    </r>
    <r>
      <rPr>
        <vertAlign val="superscript"/>
        <sz val="8"/>
        <color theme="1"/>
        <rFont val="Arial"/>
        <family val="2"/>
      </rPr>
      <t>3</t>
    </r>
  </si>
  <si>
    <t>Total number of trips 
per year:</t>
  </si>
  <si>
    <t>Total distance travelled for emptying vehicles:</t>
  </si>
  <si>
    <t>FS transported not treated</t>
  </si>
  <si>
    <t>FS Treated</t>
  </si>
  <si>
    <t>Total CO2 Emissions from Transportation of FS (kg CO2/year):</t>
  </si>
  <si>
    <t>Effective Population</t>
  </si>
  <si>
    <t>(effective = pop/ emt freq)</t>
  </si>
  <si>
    <t>kg CO2/cap/year</t>
  </si>
  <si>
    <t>WW transported not treated</t>
  </si>
  <si>
    <t>Total CO2 Emissions from Transportation of WW (kg CO2/year):</t>
  </si>
  <si>
    <t>Carbon emissions from sewers</t>
  </si>
  <si>
    <t>Total consumption (L/year)</t>
  </si>
  <si>
    <t xml:space="preserve">Emission factor (kg CO2e/ L) of diesel </t>
  </si>
  <si>
    <t xml:space="preserve">Total CO2e (kg CO2e/ year) </t>
  </si>
  <si>
    <t>Population</t>
  </si>
  <si>
    <t>kg CO2e/cap/year</t>
  </si>
  <si>
    <t>Diesel generator</t>
  </si>
  <si>
    <t xml:space="preserve">Total MWH Used yearly </t>
  </si>
  <si>
    <t xml:space="preserve">Emissions Factor 0.91 t CO2e / MwH </t>
  </si>
  <si>
    <t>Electricity</t>
  </si>
  <si>
    <t>Sewer</t>
  </si>
  <si>
    <t>Specification</t>
  </si>
  <si>
    <t>1 manhole per km, total network 150 km</t>
  </si>
  <si>
    <t>Manhole NR</t>
  </si>
  <si>
    <t>Pipeline (m)</t>
  </si>
  <si>
    <t>Toilet (upper structure only) + connection to sewer</t>
  </si>
  <si>
    <t>Tier 3 IPCC methodology for WWTP</t>
  </si>
  <si>
    <r>
      <t>CH</t>
    </r>
    <r>
      <rPr>
        <vertAlign val="subscript"/>
        <sz val="8"/>
        <color theme="1"/>
        <rFont val="Calibri"/>
        <family val="2"/>
      </rPr>
      <t>4</t>
    </r>
    <r>
      <rPr>
        <sz val="8"/>
        <color theme="1"/>
        <rFont val="Calibri"/>
        <family val="2"/>
      </rPr>
      <t xml:space="preserve"> emissions = {Σ</t>
    </r>
    <r>
      <rPr>
        <vertAlign val="subscript"/>
        <sz val="8"/>
        <color theme="1"/>
        <rFont val="Calibri"/>
        <family val="2"/>
      </rPr>
      <t>i,j</t>
    </r>
    <r>
      <rPr>
        <sz val="8"/>
        <color theme="1"/>
        <rFont val="Calibri"/>
        <family val="2"/>
      </rPr>
      <t>(U</t>
    </r>
    <r>
      <rPr>
        <vertAlign val="subscript"/>
        <sz val="8"/>
        <color theme="1"/>
        <rFont val="Calibri"/>
        <family val="2"/>
      </rPr>
      <t xml:space="preserve">i </t>
    </r>
    <r>
      <rPr>
        <sz val="8"/>
        <color theme="1"/>
        <rFont val="Calibri"/>
        <family val="2"/>
      </rPr>
      <t>x T</t>
    </r>
    <r>
      <rPr>
        <vertAlign val="subscript"/>
        <sz val="8"/>
        <color theme="1"/>
        <rFont val="Calibri"/>
        <family val="2"/>
      </rPr>
      <t>ij</t>
    </r>
    <r>
      <rPr>
        <sz val="8"/>
        <color theme="1"/>
        <rFont val="Calibri"/>
        <family val="2"/>
      </rPr>
      <t xml:space="preserve"> x EF</t>
    </r>
    <r>
      <rPr>
        <vertAlign val="subscript"/>
        <sz val="8"/>
        <color theme="1"/>
        <rFont val="Calibri"/>
        <family val="2"/>
      </rPr>
      <t>j</t>
    </r>
    <r>
      <rPr>
        <sz val="8"/>
        <color theme="1"/>
        <rFont val="Calibri"/>
        <family val="2"/>
      </rPr>
      <t>)} x {TOW – S) – R</t>
    </r>
  </si>
  <si>
    <t>Influent characteristics</t>
  </si>
  <si>
    <t>TOW</t>
  </si>
  <si>
    <r>
      <t>CH</t>
    </r>
    <r>
      <rPr>
        <vertAlign val="subscript"/>
        <sz val="8"/>
        <color theme="1"/>
        <rFont val="Calibri"/>
        <family val="2"/>
      </rPr>
      <t>4</t>
    </r>
    <r>
      <rPr>
        <sz val="8"/>
        <color theme="1"/>
        <rFont val="Calibri"/>
        <family val="2"/>
      </rPr>
      <t xml:space="preserve"> emissions in kg CH</t>
    </r>
    <r>
      <rPr>
        <vertAlign val="subscript"/>
        <sz val="8"/>
        <color theme="1"/>
        <rFont val="Calibri"/>
        <family val="2"/>
      </rPr>
      <t>4</t>
    </r>
    <r>
      <rPr>
        <sz val="8"/>
        <color theme="1"/>
        <rFont val="Calibri"/>
        <family val="2"/>
      </rPr>
      <t xml:space="preserve"> / year</t>
    </r>
  </si>
  <si>
    <t>Wastewater</t>
  </si>
  <si>
    <t>kg COD/cap/year</t>
  </si>
  <si>
    <t>TOW – total organics in wastewater per year (kg BOD/ year)</t>
  </si>
  <si>
    <t>Feacal Sludge</t>
  </si>
  <si>
    <t>S = organics components removed as sludge (kg BOD/ year)</t>
  </si>
  <si>
    <r>
      <t>R = amount of CH</t>
    </r>
    <r>
      <rPr>
        <vertAlign val="subscript"/>
        <sz val="8"/>
        <color theme="1"/>
        <rFont val="Calibri"/>
        <family val="2"/>
      </rPr>
      <t>4</t>
    </r>
    <r>
      <rPr>
        <sz val="8"/>
        <color theme="1"/>
        <rFont val="Calibri"/>
        <family val="2"/>
      </rPr>
      <t xml:space="preserve"> recovered (kg CH</t>
    </r>
    <r>
      <rPr>
        <vertAlign val="subscript"/>
        <sz val="8"/>
        <color theme="1"/>
        <rFont val="Calibri"/>
        <family val="2"/>
      </rPr>
      <t>4</t>
    </r>
    <r>
      <rPr>
        <sz val="8"/>
        <color theme="1"/>
        <rFont val="Calibri"/>
        <family val="2"/>
      </rPr>
      <t xml:space="preserve"> per  year)</t>
    </r>
  </si>
  <si>
    <t>U = population</t>
  </si>
  <si>
    <t>Treatment Process</t>
  </si>
  <si>
    <r>
      <t>B</t>
    </r>
    <r>
      <rPr>
        <b/>
        <vertAlign val="subscript"/>
        <sz val="8"/>
        <color theme="1"/>
        <rFont val="Calibri"/>
        <family val="2"/>
      </rPr>
      <t>0</t>
    </r>
  </si>
  <si>
    <t>EF = B0 x MCF</t>
  </si>
  <si>
    <t>Retention time</t>
  </si>
  <si>
    <t>Proportional S</t>
  </si>
  <si>
    <t>Propoortional L</t>
  </si>
  <si>
    <t>Proportional R</t>
  </si>
  <si>
    <t>COD Reduction</t>
  </si>
  <si>
    <t xml:space="preserve">EF </t>
  </si>
  <si>
    <t>T = degree of utilisation</t>
  </si>
  <si>
    <t>(kg CH4/ kg COD)</t>
  </si>
  <si>
    <t>days</t>
  </si>
  <si>
    <r>
      <t>kgN</t>
    </r>
    <r>
      <rPr>
        <b/>
        <vertAlign val="subscript"/>
        <sz val="8"/>
        <color theme="1"/>
        <rFont val="Arial"/>
        <family val="2"/>
      </rPr>
      <t>2</t>
    </r>
    <r>
      <rPr>
        <b/>
        <sz val="8"/>
        <color theme="1"/>
        <rFont val="Arial"/>
        <family val="2"/>
      </rPr>
      <t>O-N/kg N</t>
    </r>
  </si>
  <si>
    <r>
      <t>EF = emission factors (kg CH</t>
    </r>
    <r>
      <rPr>
        <vertAlign val="subscript"/>
        <sz val="8"/>
        <color theme="1"/>
        <rFont val="Calibri"/>
        <family val="2"/>
      </rPr>
      <t>4</t>
    </r>
    <r>
      <rPr>
        <sz val="8"/>
        <color theme="1"/>
        <rFont val="Calibri"/>
        <family val="2"/>
      </rPr>
      <t xml:space="preserve"> / kg BOD)</t>
    </r>
  </si>
  <si>
    <t>Anaerobic ponds</t>
  </si>
  <si>
    <t>i and j = income categories (ie low and high income groups).</t>
  </si>
  <si>
    <t>Facultative ponds</t>
  </si>
  <si>
    <t>Drying beds</t>
  </si>
  <si>
    <t>Thickening Tanks</t>
  </si>
  <si>
    <t xml:space="preserve">Modified formular based on Reid et al. </t>
  </si>
  <si>
    <t>FS Storage</t>
  </si>
  <si>
    <r>
      <t>CH</t>
    </r>
    <r>
      <rPr>
        <vertAlign val="subscript"/>
        <sz val="8"/>
        <color theme="1"/>
        <rFont val="Calibri"/>
        <family val="2"/>
      </rPr>
      <t>4</t>
    </r>
    <r>
      <rPr>
        <sz val="8"/>
        <color theme="1"/>
        <rFont val="Calibri"/>
        <family val="2"/>
      </rPr>
      <t xml:space="preserve"> emissions = Σ(U x EF) x (TOW – S) – R</t>
    </r>
  </si>
  <si>
    <t>Trickling Filters</t>
  </si>
  <si>
    <t>Blank7</t>
  </si>
  <si>
    <t>TOW – total organics in wastewater per year (kg COD/ year)</t>
  </si>
  <si>
    <t>Blank8</t>
  </si>
  <si>
    <t>S = organics components removed as sludge (kg COD/ year)</t>
  </si>
  <si>
    <t>Blank9</t>
  </si>
  <si>
    <t>Blank10</t>
  </si>
  <si>
    <t>L = organics components removed as effluent (kg COD per year)</t>
  </si>
  <si>
    <r>
      <t>EF = emission factors (kg CH</t>
    </r>
    <r>
      <rPr>
        <vertAlign val="subscript"/>
        <sz val="8"/>
        <color theme="1"/>
        <rFont val="Calibri"/>
        <family val="2"/>
      </rPr>
      <t>4</t>
    </r>
    <r>
      <rPr>
        <sz val="8"/>
        <color theme="1"/>
        <rFont val="Calibri"/>
        <family val="2"/>
      </rPr>
      <t xml:space="preserve"> / kg COD) = Bo x MCF</t>
    </r>
  </si>
  <si>
    <r>
      <t>B</t>
    </r>
    <r>
      <rPr>
        <vertAlign val="subscript"/>
        <sz val="8"/>
        <color theme="1"/>
        <rFont val="Calibri"/>
        <family val="2"/>
      </rPr>
      <t>0</t>
    </r>
    <r>
      <rPr>
        <sz val="8"/>
        <color theme="1"/>
        <rFont val="Calibri"/>
        <family val="2"/>
      </rPr>
      <t>= Maximum methane producing capacity kg CH4/kg COD by process local context</t>
    </r>
  </si>
  <si>
    <t xml:space="preserve">MCF = Methane Correction Factor for anaerobic/ aerobic </t>
  </si>
  <si>
    <t>Treatment inflow</t>
  </si>
  <si>
    <t>Bugolobi</t>
  </si>
  <si>
    <t>Lubigi</t>
  </si>
  <si>
    <t>Faecal sludge</t>
  </si>
  <si>
    <t>2019 Refinement to the</t>
  </si>
  <si>
    <t>2006 IPCC Guidelines for</t>
  </si>
  <si>
    <t>National Greenhouse Gas Inventories</t>
  </si>
  <si>
    <t>Volume 5</t>
  </si>
  <si>
    <t>Waste</t>
  </si>
  <si>
    <t>Chapter 6 Wastewater</t>
  </si>
  <si>
    <t>Volume 4</t>
  </si>
  <si>
    <t>Agriculture, Forestry and Other Land Use</t>
  </si>
  <si>
    <t>Chapter 11 N2O emissions from managed soils</t>
  </si>
  <si>
    <t>Waste water</t>
  </si>
  <si>
    <t>Total population</t>
  </si>
  <si>
    <t>TOW Influent COD</t>
  </si>
  <si>
    <t>kg COD/cap/day</t>
  </si>
  <si>
    <t>Processes*</t>
  </si>
  <si>
    <t>TOW - Influent COD</t>
  </si>
  <si>
    <t>Effective population</t>
  </si>
  <si>
    <t>RT</t>
  </si>
  <si>
    <t>S</t>
  </si>
  <si>
    <t xml:space="preserve">L </t>
  </si>
  <si>
    <t>R</t>
  </si>
  <si>
    <t>COD Reduction/2 %</t>
  </si>
  <si>
    <t>UxEF</t>
  </si>
  <si>
    <t>TOW-S-R</t>
  </si>
  <si>
    <t>Emissions</t>
  </si>
  <si>
    <t>Emissions kg CO2e per year</t>
  </si>
  <si>
    <t>Popn equ sludge to FSM</t>
  </si>
  <si>
    <t>Popn equ ww to next step</t>
  </si>
  <si>
    <t>Resultant COD</t>
  </si>
  <si>
    <t>kg CH4 / kg COD</t>
  </si>
  <si>
    <t>kg CH4 per year</t>
  </si>
  <si>
    <t>*Start of WWT process add effluent from FSM [M33] as additional population</t>
  </si>
  <si>
    <t>*Drying beds effective population read from [M15]</t>
  </si>
  <si>
    <t>Total popn equ to Drying Beds</t>
  </si>
  <si>
    <t>/2 COD reduction rates taken from literature</t>
  </si>
  <si>
    <t>Total effective population/1</t>
  </si>
  <si>
    <t>Processes</t>
  </si>
  <si>
    <t>Effective populatoin</t>
  </si>
  <si>
    <t>COD Reduction %</t>
  </si>
  <si>
    <t>TOW-L-R</t>
  </si>
  <si>
    <t>Popn equ effluent to WWT</t>
  </si>
  <si>
    <t xml:space="preserve"> '/1 effective population = population/ emptying frequency </t>
  </si>
  <si>
    <t>Popn equiv added to WWT process</t>
  </si>
  <si>
    <t>*Start of WWT process add effective pop from FSM [N33] as additional population</t>
  </si>
  <si>
    <t xml:space="preserve">Nitrous Oxide emissions from WW Treatment </t>
  </si>
  <si>
    <t>Emission Factor (kg N2O-N/kg N)</t>
  </si>
  <si>
    <t>Estimate of N influent into each storage unit (kg N/year)</t>
  </si>
  <si>
    <t>Total N2O emissions per year (kgN20/year)</t>
  </si>
  <si>
    <t>Total emissions per year (kgCO2e/year)</t>
  </si>
  <si>
    <t>Effective users (cap)</t>
  </si>
  <si>
    <t xml:space="preserve">Users per Sub-Catergory </t>
  </si>
  <si>
    <t>Bugolobi WWTP</t>
  </si>
  <si>
    <t>Estimate of N influent (kg N/cap/year)</t>
  </si>
  <si>
    <t>Total N20 Emissions from the Storage of Sludge (kgN2O/year):</t>
  </si>
  <si>
    <t xml:space="preserve"> Total CO2e Emissions from the Storage of Sludge (kgCO2e/year):</t>
  </si>
  <si>
    <t>Converted from 12.8 g N/cap/d  in faeces+urine (Table 12 Rose et al. 2015)</t>
  </si>
  <si>
    <t xml:space="preserve">Nitrous Oxide emissions from FS Treatment </t>
  </si>
  <si>
    <t>Lubigi FSTP</t>
  </si>
  <si>
    <t>Lubigi WWTP</t>
  </si>
  <si>
    <t>Lubigi WWTP Operation</t>
  </si>
  <si>
    <t>Lubigi FSTP Operation</t>
  </si>
  <si>
    <t>Bugolobi WWTP Operation</t>
  </si>
  <si>
    <t>Wastewater treatment plant</t>
  </si>
  <si>
    <t>Bugolobi treatment plant</t>
  </si>
  <si>
    <t>*mass is estimated</t>
  </si>
  <si>
    <t>Faecal sludge treatment plant</t>
  </si>
  <si>
    <t>Bugolobi treatment plant (Pond system + drying beds)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</si>
</sst>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_-;\-* #,##0_-;_-* &quot;-&quot;??_-;_-@_-"/>
    <numFmt numFmtId="166" formatCode="0.0"/>
    <numFmt numFmtId="167" formatCode="0.000"/>
    <numFmt numFmtId="168" formatCode="#,##0.000"/>
    <numFmt numFmtId="169" formatCode="_-* #,##0.000_-;\-* #,##0.000_-;_-* &quot;-&quot;??_-;_-@_-"/>
    <numFmt numFmtId="170" formatCode="_-* #,##0.0000_-;\-* #,##0.0000_-;_-* &quot;-&quot;??_-;_-@_-"/>
    <numFmt numFmtId="171" formatCode="0.0000"/>
    <numFmt numFmtId="172" formatCode="#,##0.0"/>
    <numFmt numFmtId="173" formatCode="0.000%"/>
    <numFmt numFmtId="174" formatCode="0.0000%"/>
  </numFmts>
  <fonts count="42">
    <font>
      <sz val="10"/>
      <color theme="1"/>
      <name val="Arial"/>
      <family val="2"/>
    </font>
    <font>
      <sz val="10"/>
      <color theme="1"/>
      <name val="Arial"/>
      <family val="2"/>
    </font>
    <font>
      <b/>
      <sz val="10"/>
      <color theme="1"/>
      <name val="Arial"/>
      <family val="2"/>
    </font>
    <font>
      <sz val="9"/>
      <color theme="1"/>
      <name val="Arial"/>
      <family val="2"/>
    </font>
    <font>
      <b/>
      <sz val="9"/>
      <color theme="1"/>
      <name val="Arial"/>
      <family val="2"/>
    </font>
    <font>
      <sz val="8"/>
      <color theme="1"/>
      <name val="Arial"/>
      <family val="2"/>
    </font>
    <font>
      <b/>
      <sz val="8"/>
      <color theme="1"/>
      <name val="Arial"/>
      <family val="2"/>
    </font>
    <font>
      <b/>
      <sz val="8"/>
      <color theme="1"/>
      <name val="Calibri"/>
      <family val="2"/>
    </font>
    <font>
      <b/>
      <vertAlign val="subscript"/>
      <sz val="8"/>
      <color theme="1"/>
      <name val="Calibri"/>
      <family val="2"/>
    </font>
    <font>
      <b/>
      <i/>
      <sz val="8"/>
      <color theme="1"/>
      <name val="Arial"/>
      <family val="2"/>
    </font>
    <font>
      <sz val="8"/>
      <name val="Arial"/>
      <family val="2"/>
    </font>
    <font>
      <b/>
      <sz val="8"/>
      <color theme="4"/>
      <name val="Arial"/>
      <family val="2"/>
    </font>
    <font>
      <sz val="8"/>
      <color theme="1"/>
      <name val="Calibri"/>
      <family val="2"/>
    </font>
    <font>
      <vertAlign val="subscript"/>
      <sz val="8"/>
      <color theme="1"/>
      <name val="Calibri"/>
      <family val="2"/>
    </font>
    <font>
      <sz val="8"/>
      <color theme="3"/>
      <name val="Arial"/>
      <family val="2"/>
    </font>
    <font>
      <sz val="8"/>
      <color rgb="FFFFC000"/>
      <name val="Arial"/>
      <family val="2"/>
    </font>
    <font>
      <sz val="10"/>
      <color theme="7" tint="0.79998168889431442"/>
      <name val="Arial"/>
      <family val="2"/>
    </font>
    <font>
      <sz val="8"/>
      <color rgb="FF000000"/>
      <name val="Calibri"/>
      <family val="2"/>
      <scheme val="minor"/>
    </font>
    <font>
      <sz val="8"/>
      <color theme="1"/>
      <name val="Calibri"/>
      <family val="2"/>
      <scheme val="minor"/>
    </font>
    <font>
      <sz val="8"/>
      <color rgb="FF44546A"/>
      <name val="Calibri"/>
      <family val="2"/>
      <scheme val="minor"/>
    </font>
    <font>
      <sz val="9"/>
      <color rgb="FF000000"/>
      <name val="Calibri"/>
      <family val="2"/>
      <scheme val="minor"/>
    </font>
    <font>
      <sz val="9"/>
      <color theme="1"/>
      <name val="Calibri"/>
      <family val="2"/>
      <scheme val="minor"/>
    </font>
    <font>
      <vertAlign val="subscript"/>
      <sz val="9"/>
      <color theme="1"/>
      <name val="Calibri"/>
      <family val="2"/>
      <scheme val="minor"/>
    </font>
    <font>
      <b/>
      <sz val="9"/>
      <color theme="1"/>
      <name val="Calibri"/>
      <family val="2"/>
      <scheme val="minor"/>
    </font>
    <font>
      <sz val="9"/>
      <name val="Arial"/>
      <family val="2"/>
    </font>
    <font>
      <sz val="8"/>
      <color rgb="FF000000"/>
      <name val="Arial"/>
      <family val="2"/>
    </font>
    <font>
      <vertAlign val="subscript"/>
      <sz val="8"/>
      <color theme="1"/>
      <name val="Arial"/>
      <family val="2"/>
    </font>
    <font>
      <vertAlign val="subscript"/>
      <sz val="8"/>
      <color rgb="FF000000"/>
      <name val="Arial"/>
      <family val="2"/>
    </font>
    <font>
      <vertAlign val="superscript"/>
      <sz val="8"/>
      <color theme="1"/>
      <name val="Arial"/>
      <family val="2"/>
    </font>
    <font>
      <sz val="8"/>
      <name val="Calibri"/>
      <family val="2"/>
      <scheme val="minor"/>
    </font>
    <font>
      <sz val="8"/>
      <color rgb="FFFF0000"/>
      <name val="Arial"/>
      <family val="2"/>
    </font>
    <font>
      <sz val="8"/>
      <color rgb="FFFF0000"/>
      <name val="Calibri"/>
      <family val="2"/>
      <scheme val="minor"/>
    </font>
    <font>
      <b/>
      <sz val="8"/>
      <color rgb="FF000000"/>
      <name val="Calibri"/>
      <family val="2"/>
      <scheme val="minor"/>
    </font>
    <font>
      <sz val="9"/>
      <color indexed="81"/>
      <name val="Tahoma"/>
      <charset val="1"/>
    </font>
    <font>
      <b/>
      <sz val="9"/>
      <color indexed="81"/>
      <name val="Tahoma"/>
      <charset val="1"/>
    </font>
    <font>
      <b/>
      <vertAlign val="subscript"/>
      <sz val="8"/>
      <color theme="1"/>
      <name val="Arial"/>
      <family val="2"/>
    </font>
    <font>
      <sz val="10"/>
      <color theme="1"/>
      <name val="Times New Roman"/>
      <family val="1"/>
    </font>
    <font>
      <sz val="7"/>
      <color theme="1"/>
      <name val="Times New Roman"/>
      <family val="1"/>
    </font>
    <font>
      <b/>
      <sz val="10"/>
      <color theme="1"/>
      <name val="Times New Roman"/>
      <family val="1"/>
    </font>
    <font>
      <b/>
      <vertAlign val="superscript"/>
      <sz val="10"/>
      <color theme="1"/>
      <name val="Times New Roman"/>
      <family val="1"/>
    </font>
    <font>
      <b/>
      <vertAlign val="subscript"/>
      <sz val="10"/>
      <color theme="1"/>
      <name val="Times New Roman"/>
      <family val="1"/>
    </font>
    <font>
      <b/>
      <sz val="7"/>
      <color theme="1"/>
      <name val="Times New Roman"/>
      <family val="1"/>
    </font>
  </fonts>
  <fills count="14">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bottom style="double">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442">
    <xf numFmtId="0" fontId="0" fillId="0" borderId="0" xfId="0"/>
    <xf numFmtId="165" fontId="0" fillId="0" borderId="0" xfId="1" applyNumberFormat="1" applyFont="1"/>
    <xf numFmtId="9" fontId="0" fillId="0" borderId="0" xfId="1" applyNumberFormat="1" applyFont="1"/>
    <xf numFmtId="165" fontId="0" fillId="2" borderId="0" xfId="1" applyNumberFormat="1" applyFont="1" applyFill="1"/>
    <xf numFmtId="0" fontId="0" fillId="2" borderId="0" xfId="0" applyFill="1"/>
    <xf numFmtId="0" fontId="0" fillId="0" borderId="0" xfId="0" applyAlignment="1">
      <alignment wrapText="1"/>
    </xf>
    <xf numFmtId="0" fontId="6" fillId="0" borderId="0" xfId="0" applyFont="1" applyAlignment="1">
      <alignment horizontal="right"/>
    </xf>
    <xf numFmtId="0" fontId="6" fillId="2" borderId="0" xfId="0" applyFont="1" applyFill="1" applyAlignment="1">
      <alignment horizontal="right"/>
    </xf>
    <xf numFmtId="0" fontId="6" fillId="2" borderId="0" xfId="0" applyFont="1" applyFill="1" applyAlignment="1">
      <alignment horizontal="right" wrapText="1"/>
    </xf>
    <xf numFmtId="167" fontId="0" fillId="2" borderId="0" xfId="0" applyNumberFormat="1" applyFill="1"/>
    <xf numFmtId="9" fontId="0" fillId="0" borderId="0" xfId="0" applyNumberFormat="1"/>
    <xf numFmtId="0" fontId="6" fillId="2" borderId="0" xfId="0" applyFont="1" applyFill="1" applyAlignment="1">
      <alignment horizontal="center" wrapText="1"/>
    </xf>
    <xf numFmtId="0" fontId="3" fillId="0" borderId="0" xfId="0" applyFont="1"/>
    <xf numFmtId="0" fontId="4" fillId="0" borderId="0" xfId="0" applyFont="1"/>
    <xf numFmtId="0" fontId="6" fillId="2" borderId="0" xfId="0" applyFont="1" applyFill="1"/>
    <xf numFmtId="0" fontId="5" fillId="2" borderId="0" xfId="0" applyFont="1" applyFill="1"/>
    <xf numFmtId="165" fontId="5" fillId="2" borderId="0" xfId="1" applyNumberFormat="1" applyFont="1" applyFill="1"/>
    <xf numFmtId="0" fontId="5" fillId="0" borderId="0" xfId="0" applyFont="1"/>
    <xf numFmtId="0" fontId="6" fillId="0" borderId="0" xfId="0" applyFont="1"/>
    <xf numFmtId="167" fontId="5" fillId="2" borderId="0" xfId="0" applyNumberFormat="1" applyFont="1" applyFill="1"/>
    <xf numFmtId="1" fontId="5" fillId="2" borderId="0" xfId="0" applyNumberFormat="1" applyFont="1" applyFill="1"/>
    <xf numFmtId="9" fontId="5" fillId="2" borderId="0" xfId="0" applyNumberFormat="1" applyFont="1" applyFill="1"/>
    <xf numFmtId="0" fontId="6" fillId="2" borderId="0" xfId="0" applyFont="1" applyFill="1" applyAlignment="1">
      <alignment horizontal="right" indent="1"/>
    </xf>
    <xf numFmtId="0" fontId="6" fillId="2" borderId="0" xfId="0" applyFont="1" applyFill="1" applyAlignment="1">
      <alignment horizontal="right" wrapText="1" indent="1"/>
    </xf>
    <xf numFmtId="0" fontId="6" fillId="2" borderId="0" xfId="0" applyFont="1" applyFill="1" applyAlignment="1">
      <alignment wrapText="1"/>
    </xf>
    <xf numFmtId="165" fontId="5" fillId="2" borderId="0" xfId="0" applyNumberFormat="1" applyFont="1" applyFill="1"/>
    <xf numFmtId="164" fontId="5" fillId="2" borderId="0" xfId="1" applyFont="1" applyFill="1"/>
    <xf numFmtId="164" fontId="5" fillId="2" borderId="0" xfId="0" applyNumberFormat="1" applyFont="1" applyFill="1"/>
    <xf numFmtId="165" fontId="6" fillId="2" borderId="0" xfId="1" applyNumberFormat="1" applyFont="1" applyFill="1"/>
    <xf numFmtId="165" fontId="5" fillId="6" borderId="1" xfId="1" applyNumberFormat="1" applyFont="1" applyFill="1" applyBorder="1"/>
    <xf numFmtId="0" fontId="9" fillId="2" borderId="0" xfId="0" applyFont="1" applyFill="1" applyAlignment="1">
      <alignment horizontal="right"/>
    </xf>
    <xf numFmtId="165" fontId="10" fillId="2" borderId="0" xfId="0" applyNumberFormat="1" applyFont="1" applyFill="1"/>
    <xf numFmtId="165" fontId="11" fillId="2" borderId="0" xfId="1" applyNumberFormat="1" applyFont="1" applyFill="1"/>
    <xf numFmtId="165" fontId="10" fillId="2" borderId="0" xfId="1" applyNumberFormat="1" applyFont="1" applyFill="1"/>
    <xf numFmtId="0" fontId="5" fillId="2" borderId="0" xfId="0" quotePrefix="1" applyFont="1" applyFill="1"/>
    <xf numFmtId="0" fontId="5" fillId="3" borderId="3" xfId="0" applyFont="1" applyFill="1" applyBorder="1"/>
    <xf numFmtId="0" fontId="5" fillId="3" borderId="4" xfId="0" applyFont="1" applyFill="1" applyBorder="1"/>
    <xf numFmtId="0" fontId="12" fillId="3" borderId="2" xfId="0" applyFont="1" applyFill="1" applyBorder="1" applyAlignment="1">
      <alignment vertical="center"/>
    </xf>
    <xf numFmtId="0" fontId="5" fillId="3" borderId="0" xfId="0" applyFont="1" applyFill="1"/>
    <xf numFmtId="0" fontId="5" fillId="3" borderId="6" xfId="0" applyFont="1" applyFill="1" applyBorder="1"/>
    <xf numFmtId="0" fontId="12" fillId="3" borderId="5" xfId="0" applyFont="1" applyFill="1" applyBorder="1" applyAlignment="1">
      <alignment vertical="center"/>
    </xf>
    <xf numFmtId="9" fontId="5" fillId="0" borderId="0" xfId="0" applyNumberFormat="1" applyFont="1"/>
    <xf numFmtId="0" fontId="5" fillId="3" borderId="7" xfId="0" applyFont="1" applyFill="1" applyBorder="1"/>
    <xf numFmtId="0" fontId="5" fillId="3" borderId="8" xfId="0" applyFont="1" applyFill="1" applyBorder="1"/>
    <xf numFmtId="0" fontId="5" fillId="3" borderId="9" xfId="0" applyFont="1" applyFill="1" applyBorder="1"/>
    <xf numFmtId="0" fontId="6" fillId="0" borderId="10" xfId="0" applyFont="1" applyBorder="1"/>
    <xf numFmtId="0" fontId="12" fillId="0" borderId="0" xfId="0" applyFont="1" applyAlignment="1">
      <alignment vertical="center"/>
    </xf>
    <xf numFmtId="0" fontId="12" fillId="0" borderId="8" xfId="0" applyFont="1" applyBorder="1" applyAlignment="1">
      <alignment vertical="center"/>
    </xf>
    <xf numFmtId="0" fontId="5" fillId="2" borderId="2" xfId="0" applyFont="1" applyFill="1" applyBorder="1"/>
    <xf numFmtId="0" fontId="5" fillId="2" borderId="3" xfId="0" applyFont="1" applyFill="1" applyBorder="1"/>
    <xf numFmtId="0" fontId="6" fillId="2" borderId="5" xfId="0" applyFont="1" applyFill="1" applyBorder="1"/>
    <xf numFmtId="0" fontId="5" fillId="2" borderId="5" xfId="0" applyFont="1" applyFill="1" applyBorder="1"/>
    <xf numFmtId="0" fontId="7" fillId="2" borderId="0" xfId="0" applyFont="1" applyFill="1" applyAlignment="1">
      <alignment horizontal="right" vertical="center"/>
    </xf>
    <xf numFmtId="0" fontId="5" fillId="2" borderId="0" xfId="0" applyFont="1" applyFill="1" applyAlignment="1">
      <alignment horizontal="right" wrapText="1"/>
    </xf>
    <xf numFmtId="0" fontId="5" fillId="2" borderId="0" xfId="0" applyFont="1" applyFill="1" applyAlignment="1">
      <alignment horizontal="right"/>
    </xf>
    <xf numFmtId="0" fontId="5" fillId="2" borderId="7" xfId="0" applyFont="1" applyFill="1" applyBorder="1"/>
    <xf numFmtId="0" fontId="5" fillId="2" borderId="8" xfId="0" applyFont="1" applyFill="1" applyBorder="1"/>
    <xf numFmtId="9" fontId="5" fillId="2" borderId="0" xfId="1" applyNumberFormat="1" applyFont="1" applyFill="1"/>
    <xf numFmtId="9" fontId="6" fillId="2" borderId="0" xfId="1" applyNumberFormat="1" applyFont="1" applyFill="1" applyAlignment="1">
      <alignment horizontal="right"/>
    </xf>
    <xf numFmtId="165" fontId="6" fillId="2" borderId="0" xfId="1" applyNumberFormat="1" applyFont="1" applyFill="1" applyAlignment="1">
      <alignment horizontal="right"/>
    </xf>
    <xf numFmtId="165" fontId="5" fillId="0" borderId="0" xfId="1" applyNumberFormat="1" applyFont="1"/>
    <xf numFmtId="165" fontId="5" fillId="0" borderId="12" xfId="1" applyNumberFormat="1" applyFont="1" applyBorder="1"/>
    <xf numFmtId="165" fontId="7" fillId="0" borderId="1" xfId="1" applyNumberFormat="1" applyFont="1" applyBorder="1" applyAlignment="1">
      <alignment horizontal="right" vertical="center"/>
    </xf>
    <xf numFmtId="165" fontId="7" fillId="3" borderId="14" xfId="1" applyNumberFormat="1" applyFont="1" applyFill="1" applyBorder="1" applyAlignment="1">
      <alignment horizontal="right" vertical="center"/>
    </xf>
    <xf numFmtId="0" fontId="6" fillId="0" borderId="15" xfId="0" applyFont="1" applyBorder="1"/>
    <xf numFmtId="0" fontId="6" fillId="0" borderId="13" xfId="0" applyFont="1" applyBorder="1"/>
    <xf numFmtId="0" fontId="6" fillId="0" borderId="12" xfId="0" applyFont="1" applyBorder="1"/>
    <xf numFmtId="165" fontId="5" fillId="0" borderId="0" xfId="1" applyNumberFormat="1" applyFont="1" applyBorder="1"/>
    <xf numFmtId="165" fontId="5" fillId="0" borderId="10" xfId="1" applyNumberFormat="1" applyFont="1" applyBorder="1"/>
    <xf numFmtId="9" fontId="15" fillId="2" borderId="0" xfId="0" applyNumberFormat="1" applyFont="1" applyFill="1"/>
    <xf numFmtId="165" fontId="7" fillId="0" borderId="15" xfId="1" applyNumberFormat="1" applyFont="1" applyBorder="1" applyAlignment="1">
      <alignment horizontal="right" vertical="center"/>
    </xf>
    <xf numFmtId="165" fontId="7" fillId="3" borderId="4" xfId="1" applyNumberFormat="1" applyFont="1" applyFill="1" applyBorder="1" applyAlignment="1">
      <alignment horizontal="right" vertical="center"/>
    </xf>
    <xf numFmtId="0" fontId="0" fillId="4" borderId="0" xfId="0" applyFill="1"/>
    <xf numFmtId="9" fontId="0" fillId="0" borderId="0" xfId="1" applyNumberFormat="1" applyFont="1" applyFill="1"/>
    <xf numFmtId="165" fontId="0" fillId="0" borderId="0" xfId="1" applyNumberFormat="1" applyFont="1" applyFill="1"/>
    <xf numFmtId="165" fontId="6" fillId="0" borderId="0" xfId="1" applyNumberFormat="1" applyFont="1" applyFill="1" applyAlignment="1">
      <alignment horizontal="right"/>
    </xf>
    <xf numFmtId="165" fontId="5" fillId="0" borderId="0" xfId="1" applyNumberFormat="1" applyFont="1" applyFill="1"/>
    <xf numFmtId="0" fontId="16" fillId="7" borderId="0" xfId="0" applyFont="1" applyFill="1"/>
    <xf numFmtId="0" fontId="6" fillId="7" borderId="0" xfId="0" applyFont="1" applyFill="1"/>
    <xf numFmtId="165" fontId="5" fillId="7" borderId="0" xfId="1" applyNumberFormat="1" applyFont="1" applyFill="1"/>
    <xf numFmtId="0" fontId="5" fillId="7" borderId="0" xfId="0" applyFont="1" applyFill="1"/>
    <xf numFmtId="0" fontId="0" fillId="7" borderId="0" xfId="0" applyFill="1"/>
    <xf numFmtId="0" fontId="6" fillId="0" borderId="1" xfId="0" applyFont="1" applyBorder="1"/>
    <xf numFmtId="165" fontId="0" fillId="7" borderId="0" xfId="1" applyNumberFormat="1" applyFont="1" applyFill="1"/>
    <xf numFmtId="0" fontId="17" fillId="0" borderId="16" xfId="0" applyFont="1" applyBorder="1" applyAlignment="1">
      <alignment horizontal="center" vertical="center" wrapText="1"/>
    </xf>
    <xf numFmtId="0" fontId="17" fillId="0" borderId="21" xfId="0" applyFont="1" applyBorder="1" applyAlignment="1">
      <alignment horizontal="center" vertical="center" wrapText="1"/>
    </xf>
    <xf numFmtId="0" fontId="18" fillId="0" borderId="24" xfId="0" applyFont="1" applyBorder="1" applyAlignment="1">
      <alignment vertical="center" wrapText="1"/>
    </xf>
    <xf numFmtId="0" fontId="17" fillId="0" borderId="24" xfId="0" applyFont="1" applyBorder="1" applyAlignment="1">
      <alignment vertical="center" wrapText="1"/>
    </xf>
    <xf numFmtId="165" fontId="5" fillId="0" borderId="17" xfId="1" applyNumberFormat="1" applyFont="1" applyBorder="1" applyAlignment="1">
      <alignment horizontal="center" vertical="center" wrapText="1"/>
    </xf>
    <xf numFmtId="0" fontId="18" fillId="0" borderId="17" xfId="0" applyFont="1" applyBorder="1" applyAlignment="1">
      <alignment vertical="center" wrapText="1"/>
    </xf>
    <xf numFmtId="0" fontId="18" fillId="0" borderId="27" xfId="0" applyFont="1" applyBorder="1" applyAlignment="1">
      <alignment vertical="center" wrapText="1"/>
    </xf>
    <xf numFmtId="0" fontId="18" fillId="0" borderId="26" xfId="0" applyFont="1" applyBorder="1" applyAlignment="1">
      <alignment vertical="center" wrapText="1"/>
    </xf>
    <xf numFmtId="0" fontId="18" fillId="0" borderId="28" xfId="0" applyFont="1" applyBorder="1" applyAlignment="1">
      <alignment vertical="center" wrapText="1"/>
    </xf>
    <xf numFmtId="0" fontId="17" fillId="0" borderId="28" xfId="0" applyFont="1" applyBorder="1" applyAlignment="1">
      <alignment horizontal="center" vertical="center" wrapText="1"/>
    </xf>
    <xf numFmtId="0" fontId="21" fillId="0" borderId="0" xfId="0" applyFont="1"/>
    <xf numFmtId="0" fontId="23" fillId="0" borderId="0" xfId="0" applyFont="1"/>
    <xf numFmtId="0" fontId="24" fillId="0" borderId="10" xfId="0" applyFont="1" applyBorder="1" applyAlignment="1">
      <alignment horizontal="center" vertical="center"/>
    </xf>
    <xf numFmtId="0" fontId="21" fillId="0" borderId="10" xfId="0" applyFont="1" applyBorder="1" applyAlignment="1">
      <alignment vertical="center" wrapText="1"/>
    </xf>
    <xf numFmtId="4" fontId="24" fillId="0" borderId="10" xfId="0" applyNumberFormat="1" applyFont="1" applyBorder="1" applyAlignment="1">
      <alignment horizontal="center" vertical="center"/>
    </xf>
    <xf numFmtId="166" fontId="3" fillId="0" borderId="10" xfId="0" applyNumberFormat="1" applyFont="1" applyBorder="1" applyAlignment="1">
      <alignment vertical="center"/>
    </xf>
    <xf numFmtId="0" fontId="21" fillId="0" borderId="10" xfId="0" applyFont="1" applyBorder="1" applyAlignment="1">
      <alignment wrapText="1"/>
    </xf>
    <xf numFmtId="2" fontId="3" fillId="0" borderId="10" xfId="0" applyNumberFormat="1" applyFont="1" applyBorder="1" applyAlignment="1">
      <alignment vertical="center"/>
    </xf>
    <xf numFmtId="0" fontId="24" fillId="0" borderId="8" xfId="0" applyFont="1" applyBorder="1" applyAlignment="1">
      <alignment horizontal="center" vertical="center"/>
    </xf>
    <xf numFmtId="0" fontId="21" fillId="0" borderId="8" xfId="0" applyFont="1" applyBorder="1" applyAlignment="1">
      <alignment vertical="center" wrapText="1"/>
    </xf>
    <xf numFmtId="166" fontId="3" fillId="0" borderId="8" xfId="0" applyNumberFormat="1" applyFont="1" applyBorder="1" applyAlignment="1">
      <alignment vertical="center"/>
    </xf>
    <xf numFmtId="2" fontId="3" fillId="0" borderId="8" xfId="0" applyNumberFormat="1" applyFont="1" applyBorder="1" applyAlignment="1">
      <alignment vertical="center"/>
    </xf>
    <xf numFmtId="0" fontId="20" fillId="0" borderId="10" xfId="0" applyFont="1" applyBorder="1" applyAlignment="1">
      <alignment vertical="center" wrapText="1"/>
    </xf>
    <xf numFmtId="0" fontId="21" fillId="0" borderId="10" xfId="0" applyFont="1" applyBorder="1"/>
    <xf numFmtId="0" fontId="3" fillId="0" borderId="10" xfId="0" applyFont="1" applyBorder="1" applyAlignment="1">
      <alignment vertical="center"/>
    </xf>
    <xf numFmtId="2" fontId="3" fillId="8" borderId="10" xfId="0" applyNumberFormat="1" applyFont="1" applyFill="1" applyBorder="1" applyAlignment="1">
      <alignment vertical="center"/>
    </xf>
    <xf numFmtId="166" fontId="3" fillId="6" borderId="10" xfId="0" applyNumberFormat="1" applyFont="1" applyFill="1" applyBorder="1" applyAlignment="1">
      <alignment vertical="center"/>
    </xf>
    <xf numFmtId="0" fontId="24" fillId="0" borderId="0" xfId="0" applyFont="1" applyAlignment="1">
      <alignment horizontal="center" vertical="center"/>
    </xf>
    <xf numFmtId="0" fontId="3" fillId="0" borderId="0" xfId="0" applyFont="1" applyAlignment="1">
      <alignment vertical="center"/>
    </xf>
    <xf numFmtId="2" fontId="3" fillId="0" borderId="0" xfId="0" applyNumberFormat="1" applyFont="1" applyAlignment="1">
      <alignment vertical="center"/>
    </xf>
    <xf numFmtId="0" fontId="3" fillId="0" borderId="8" xfId="0" applyFont="1" applyBorder="1" applyAlignment="1">
      <alignment vertical="center"/>
    </xf>
    <xf numFmtId="0" fontId="3" fillId="0" borderId="10" xfId="0" applyFont="1" applyBorder="1" applyAlignment="1">
      <alignment horizontal="center" vertical="center"/>
    </xf>
    <xf numFmtId="0" fontId="3" fillId="0" borderId="10" xfId="0" applyFont="1" applyBorder="1"/>
    <xf numFmtId="166" fontId="3" fillId="6" borderId="10" xfId="0" applyNumberFormat="1" applyFont="1" applyFill="1" applyBorder="1"/>
    <xf numFmtId="2" fontId="3" fillId="8" borderId="10" xfId="0" applyNumberFormat="1" applyFont="1" applyFill="1" applyBorder="1"/>
    <xf numFmtId="166" fontId="3" fillId="0" borderId="10" xfId="0" applyNumberFormat="1" applyFont="1" applyBorder="1"/>
    <xf numFmtId="2" fontId="3" fillId="0" borderId="10" xfId="0" applyNumberFormat="1" applyFont="1" applyBorder="1"/>
    <xf numFmtId="0" fontId="20" fillId="0" borderId="10" xfId="0" applyFont="1" applyBorder="1"/>
    <xf numFmtId="0" fontId="3" fillId="0" borderId="0" xfId="0" applyFont="1" applyAlignment="1">
      <alignment horizontal="center" vertical="center" wrapText="1"/>
    </xf>
    <xf numFmtId="166" fontId="3" fillId="0" borderId="0" xfId="0" applyNumberFormat="1" applyFont="1"/>
    <xf numFmtId="0" fontId="3" fillId="0" borderId="8" xfId="0" applyFont="1" applyBorder="1" applyAlignment="1">
      <alignment horizontal="center" vertical="center" wrapText="1"/>
    </xf>
    <xf numFmtId="0" fontId="3" fillId="0" borderId="8" xfId="0" applyFont="1" applyBorder="1"/>
    <xf numFmtId="166" fontId="3" fillId="0" borderId="8" xfId="0" applyNumberFormat="1" applyFont="1" applyBorder="1"/>
    <xf numFmtId="0" fontId="21" fillId="0" borderId="8" xfId="0" applyFont="1" applyBorder="1"/>
    <xf numFmtId="2" fontId="3" fillId="0" borderId="8" xfId="0" applyNumberFormat="1" applyFont="1" applyBorder="1"/>
    <xf numFmtId="0" fontId="3" fillId="0" borderId="10" xfId="0" applyFont="1" applyBorder="1" applyAlignment="1">
      <alignment horizontal="center" vertical="center" wrapText="1"/>
    </xf>
    <xf numFmtId="166" fontId="3" fillId="9" borderId="10" xfId="0" applyNumberFormat="1" applyFont="1" applyFill="1" applyBorder="1"/>
    <xf numFmtId="2" fontId="3" fillId="10" borderId="10" xfId="0" applyNumberFormat="1" applyFont="1" applyFill="1" applyBorder="1"/>
    <xf numFmtId="0" fontId="24" fillId="0" borderId="11" xfId="0" applyFont="1" applyBorder="1" applyAlignment="1">
      <alignment horizontal="center" vertical="center"/>
    </xf>
    <xf numFmtId="2" fontId="3" fillId="10" borderId="14" xfId="0" applyNumberFormat="1" applyFont="1" applyFill="1" applyBorder="1"/>
    <xf numFmtId="0" fontId="5" fillId="0" borderId="0" xfId="0" applyFont="1" applyAlignment="1">
      <alignment horizontal="center" vertical="center" wrapText="1"/>
    </xf>
    <xf numFmtId="0" fontId="5" fillId="0" borderId="0" xfId="0" applyFont="1" applyAlignment="1">
      <alignment horizontal="center" vertical="center"/>
    </xf>
    <xf numFmtId="0" fontId="3" fillId="4" borderId="0" xfId="0" applyFont="1" applyFill="1"/>
    <xf numFmtId="0" fontId="23" fillId="4" borderId="0" xfId="0" applyFont="1" applyFill="1"/>
    <xf numFmtId="0" fontId="4" fillId="4" borderId="0" xfId="0" applyFont="1" applyFill="1"/>
    <xf numFmtId="165" fontId="3" fillId="4" borderId="0" xfId="1" applyNumberFormat="1" applyFont="1" applyFill="1"/>
    <xf numFmtId="164" fontId="3" fillId="4" borderId="0" xfId="0" applyNumberFormat="1" applyFont="1" applyFill="1"/>
    <xf numFmtId="0" fontId="4" fillId="4" borderId="0" xfId="0" applyFont="1" applyFill="1" applyAlignment="1">
      <alignment wrapText="1"/>
    </xf>
    <xf numFmtId="164" fontId="24" fillId="4" borderId="0" xfId="0" applyNumberFormat="1" applyFont="1" applyFill="1"/>
    <xf numFmtId="165" fontId="3" fillId="7" borderId="0" xfId="0" applyNumberFormat="1" applyFont="1" applyFill="1"/>
    <xf numFmtId="3" fontId="5" fillId="0" borderId="0" xfId="0" applyNumberFormat="1" applyFont="1"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3" fontId="6" fillId="0" borderId="0" xfId="0" applyNumberFormat="1" applyFont="1" applyAlignment="1">
      <alignment horizontal="center" vertical="center"/>
    </xf>
    <xf numFmtId="165" fontId="5" fillId="0" borderId="1" xfId="1" applyNumberFormat="1" applyFont="1" applyBorder="1" applyAlignment="1">
      <alignment wrapText="1"/>
    </xf>
    <xf numFmtId="165" fontId="5" fillId="0" borderId="1" xfId="1" applyNumberFormat="1" applyFont="1" applyFill="1" applyBorder="1"/>
    <xf numFmtId="165" fontId="5" fillId="0" borderId="1" xfId="1" applyNumberFormat="1" applyFont="1" applyBorder="1"/>
    <xf numFmtId="0" fontId="5" fillId="0" borderId="1" xfId="0" applyFont="1" applyBorder="1"/>
    <xf numFmtId="3" fontId="5" fillId="0" borderId="0" xfId="0" applyNumberFormat="1" applyFont="1" applyAlignment="1">
      <alignment vertical="center"/>
    </xf>
    <xf numFmtId="0" fontId="5" fillId="0" borderId="0" xfId="0" applyFont="1" applyAlignment="1">
      <alignment horizontal="right" vertical="center" wrapText="1"/>
    </xf>
    <xf numFmtId="0" fontId="5" fillId="0" borderId="0" xfId="0" applyFont="1" applyAlignment="1">
      <alignment wrapText="1"/>
    </xf>
    <xf numFmtId="0" fontId="2" fillId="0" borderId="0" xfId="0" applyFont="1" applyAlignment="1">
      <alignment wrapText="1"/>
    </xf>
    <xf numFmtId="0" fontId="6" fillId="0" borderId="0" xfId="0" applyFont="1" applyAlignment="1">
      <alignment vertical="center" wrapText="1"/>
    </xf>
    <xf numFmtId="0" fontId="6" fillId="0" borderId="0" xfId="0" applyFont="1" applyAlignment="1">
      <alignment horizontal="right" vertical="center"/>
    </xf>
    <xf numFmtId="165" fontId="5" fillId="0" borderId="0" xfId="0" applyNumberFormat="1" applyFont="1"/>
    <xf numFmtId="0" fontId="5" fillId="4" borderId="0" xfId="0" applyFont="1" applyFill="1" applyAlignment="1">
      <alignment wrapText="1"/>
    </xf>
    <xf numFmtId="0" fontId="5" fillId="4" borderId="0" xfId="0" applyFont="1" applyFill="1"/>
    <xf numFmtId="9" fontId="5" fillId="4" borderId="0" xfId="0" applyNumberFormat="1" applyFont="1" applyFill="1"/>
    <xf numFmtId="0" fontId="6" fillId="4" borderId="0" xfId="0" applyFont="1" applyFill="1" applyAlignment="1">
      <alignment horizontal="center" vertical="center"/>
    </xf>
    <xf numFmtId="0" fontId="6" fillId="4" borderId="0" xfId="0" applyFont="1" applyFill="1" applyAlignment="1">
      <alignment vertical="center"/>
    </xf>
    <xf numFmtId="0" fontId="6" fillId="4" borderId="0" xfId="0" applyFont="1" applyFill="1" applyAlignment="1">
      <alignment vertical="center" wrapText="1"/>
    </xf>
    <xf numFmtId="9" fontId="6" fillId="4" borderId="0" xfId="0" applyNumberFormat="1" applyFont="1" applyFill="1" applyAlignment="1">
      <alignment vertical="center"/>
    </xf>
    <xf numFmtId="0" fontId="6" fillId="4" borderId="10" xfId="0" applyFont="1" applyFill="1" applyBorder="1" applyAlignment="1">
      <alignment horizontal="center" vertical="center" wrapText="1"/>
    </xf>
    <xf numFmtId="9" fontId="6" fillId="4" borderId="10" xfId="0" applyNumberFormat="1" applyFont="1" applyFill="1" applyBorder="1" applyAlignment="1">
      <alignment horizontal="center" vertical="center" wrapText="1"/>
    </xf>
    <xf numFmtId="0" fontId="6" fillId="4" borderId="3" xfId="0" applyFont="1" applyFill="1" applyBorder="1" applyAlignment="1">
      <alignment horizontal="center" vertical="center" wrapText="1"/>
    </xf>
    <xf numFmtId="0" fontId="32" fillId="4" borderId="10" xfId="0" applyFont="1" applyFill="1" applyBorder="1" applyAlignment="1">
      <alignment horizontal="center" vertical="center" wrapText="1"/>
    </xf>
    <xf numFmtId="0" fontId="6" fillId="4" borderId="0" xfId="0" applyFont="1" applyFill="1" applyAlignment="1">
      <alignment wrapText="1"/>
    </xf>
    <xf numFmtId="3" fontId="5" fillId="4" borderId="0" xfId="0" applyNumberFormat="1" applyFont="1" applyFill="1" applyAlignment="1">
      <alignment vertical="center"/>
    </xf>
    <xf numFmtId="3" fontId="5" fillId="4" borderId="0" xfId="0" applyNumberFormat="1" applyFont="1" applyFill="1" applyAlignment="1">
      <alignment horizontal="center" vertical="center"/>
    </xf>
    <xf numFmtId="9" fontId="5" fillId="4" borderId="0" xfId="0" applyNumberFormat="1" applyFont="1" applyFill="1" applyAlignment="1">
      <alignment horizontal="center" vertical="center"/>
    </xf>
    <xf numFmtId="0" fontId="0" fillId="4" borderId="0" xfId="0" applyFill="1" applyAlignment="1">
      <alignment wrapText="1"/>
    </xf>
    <xf numFmtId="0" fontId="5" fillId="4" borderId="0" xfId="0" applyFont="1" applyFill="1" applyAlignment="1">
      <alignment horizontal="right" vertical="center" wrapText="1"/>
    </xf>
    <xf numFmtId="2" fontId="5" fillId="4" borderId="0" xfId="0" applyNumberFormat="1" applyFont="1" applyFill="1" applyAlignment="1">
      <alignment horizontal="center" vertical="center"/>
    </xf>
    <xf numFmtId="0" fontId="6" fillId="4" borderId="0" xfId="0" applyFont="1" applyFill="1"/>
    <xf numFmtId="0" fontId="6" fillId="4" borderId="0" xfId="0" applyFont="1" applyFill="1" applyAlignment="1">
      <alignment horizontal="center"/>
    </xf>
    <xf numFmtId="3" fontId="6" fillId="4" borderId="0" xfId="0" applyNumberFormat="1" applyFont="1" applyFill="1" applyAlignment="1">
      <alignment horizontal="center" vertical="center"/>
    </xf>
    <xf numFmtId="0" fontId="5" fillId="4" borderId="0" xfId="0" applyFont="1" applyFill="1" applyAlignment="1">
      <alignment horizontal="right"/>
    </xf>
    <xf numFmtId="0" fontId="5" fillId="4" borderId="0" xfId="0" applyFont="1" applyFill="1" applyAlignment="1">
      <alignment horizontal="center"/>
    </xf>
    <xf numFmtId="165" fontId="5" fillId="7" borderId="0" xfId="0" applyNumberFormat="1" applyFont="1" applyFill="1"/>
    <xf numFmtId="0" fontId="10" fillId="4" borderId="3" xfId="0" applyFont="1" applyFill="1" applyBorder="1" applyAlignment="1">
      <alignment horizontal="center" vertical="center"/>
    </xf>
    <xf numFmtId="0" fontId="10" fillId="4" borderId="0" xfId="0" applyFont="1" applyFill="1" applyAlignment="1">
      <alignment horizontal="center" vertical="center"/>
    </xf>
    <xf numFmtId="0" fontId="5" fillId="4" borderId="0" xfId="0" applyFont="1" applyFill="1" applyAlignment="1">
      <alignment horizontal="center" vertical="center" wrapText="1"/>
    </xf>
    <xf numFmtId="0" fontId="10" fillId="4" borderId="8" xfId="0" applyFont="1" applyFill="1" applyBorder="1" applyAlignment="1">
      <alignment horizontal="center" vertical="center"/>
    </xf>
    <xf numFmtId="3" fontId="10" fillId="4" borderId="3" xfId="0" applyNumberFormat="1" applyFont="1" applyFill="1" applyBorder="1" applyAlignment="1">
      <alignment horizontal="center" vertical="center"/>
    </xf>
    <xf numFmtId="3" fontId="10" fillId="4" borderId="0" xfId="0" applyNumberFormat="1" applyFont="1" applyFill="1" applyAlignment="1">
      <alignment horizontal="center" vertical="center"/>
    </xf>
    <xf numFmtId="3" fontId="10" fillId="4" borderId="8" xfId="0" applyNumberFormat="1" applyFont="1" applyFill="1" applyBorder="1" applyAlignment="1">
      <alignment horizontal="center" vertical="center"/>
    </xf>
    <xf numFmtId="165" fontId="5" fillId="7" borderId="0" xfId="1" applyNumberFormat="1" applyFont="1" applyFill="1" applyBorder="1"/>
    <xf numFmtId="165" fontId="5" fillId="7" borderId="1" xfId="1" applyNumberFormat="1" applyFont="1" applyFill="1" applyBorder="1"/>
    <xf numFmtId="0" fontId="6" fillId="4" borderId="0" xfId="0" applyFont="1" applyFill="1" applyAlignment="1">
      <alignment horizontal="center" vertical="center" wrapText="1"/>
    </xf>
    <xf numFmtId="167" fontId="10" fillId="4" borderId="0" xfId="0" applyNumberFormat="1" applyFont="1" applyFill="1" applyAlignment="1">
      <alignment horizontal="center" vertical="center"/>
    </xf>
    <xf numFmtId="165" fontId="5" fillId="4" borderId="0" xfId="1" applyNumberFormat="1" applyFont="1" applyFill="1"/>
    <xf numFmtId="2" fontId="5" fillId="4" borderId="0" xfId="0" applyNumberFormat="1" applyFont="1" applyFill="1"/>
    <xf numFmtId="3" fontId="6" fillId="7" borderId="0" xfId="0" applyNumberFormat="1" applyFont="1" applyFill="1" applyAlignment="1">
      <alignment horizontal="center" vertical="center"/>
    </xf>
    <xf numFmtId="165" fontId="5" fillId="4" borderId="0" xfId="1" applyNumberFormat="1" applyFont="1" applyFill="1" applyAlignment="1">
      <alignment vertical="center"/>
    </xf>
    <xf numFmtId="164" fontId="5" fillId="4" borderId="0" xfId="0" applyNumberFormat="1" applyFont="1" applyFill="1" applyAlignment="1">
      <alignment vertical="center"/>
    </xf>
    <xf numFmtId="0" fontId="5" fillId="4" borderId="0" xfId="0" applyFont="1" applyFill="1" applyAlignment="1">
      <alignment vertical="center" wrapText="1"/>
    </xf>
    <xf numFmtId="0" fontId="25" fillId="4" borderId="0" xfId="0" applyFont="1" applyFill="1" applyAlignment="1">
      <alignment horizontal="center" vertical="center" wrapText="1"/>
    </xf>
    <xf numFmtId="165" fontId="10" fillId="4" borderId="0" xfId="1" applyNumberFormat="1" applyFont="1" applyFill="1" applyAlignment="1">
      <alignment horizontal="center" vertical="center"/>
    </xf>
    <xf numFmtId="0" fontId="5" fillId="4" borderId="0" xfId="0" applyFont="1" applyFill="1" applyAlignment="1">
      <alignment horizontal="center" vertical="center"/>
    </xf>
    <xf numFmtId="0" fontId="30" fillId="4" borderId="0" xfId="0" applyFont="1" applyFill="1" applyAlignment="1">
      <alignment horizontal="center" vertical="center"/>
    </xf>
    <xf numFmtId="0" fontId="31" fillId="4" borderId="0" xfId="0" applyFont="1" applyFill="1" applyAlignment="1">
      <alignment horizontal="center" vertical="center"/>
    </xf>
    <xf numFmtId="3" fontId="30" fillId="4" borderId="0" xfId="0" applyNumberFormat="1" applyFont="1" applyFill="1" applyAlignment="1">
      <alignment horizontal="center" vertical="center"/>
    </xf>
    <xf numFmtId="0" fontId="31" fillId="4" borderId="0" xfId="0" applyFont="1" applyFill="1"/>
    <xf numFmtId="0" fontId="10" fillId="4" borderId="0" xfId="0" applyFont="1" applyFill="1" applyAlignment="1">
      <alignment horizontal="right" vertical="center" wrapText="1"/>
    </xf>
    <xf numFmtId="0" fontId="10" fillId="4" borderId="0" xfId="0" applyFont="1" applyFill="1" applyAlignment="1">
      <alignment horizontal="center" vertical="center" wrapText="1"/>
    </xf>
    <xf numFmtId="0" fontId="30" fillId="4" borderId="0" xfId="0" applyFont="1" applyFill="1" applyAlignment="1">
      <alignment horizontal="right" vertical="center" wrapText="1"/>
    </xf>
    <xf numFmtId="0" fontId="30" fillId="4" borderId="0" xfId="0" applyFont="1" applyFill="1"/>
    <xf numFmtId="0" fontId="10" fillId="4" borderId="0" xfId="0" applyFont="1" applyFill="1" applyAlignment="1">
      <alignment vertical="center"/>
    </xf>
    <xf numFmtId="0" fontId="10" fillId="4" borderId="0" xfId="0" applyFont="1" applyFill="1" applyAlignment="1">
      <alignment vertical="center" wrapText="1"/>
    </xf>
    <xf numFmtId="165" fontId="5" fillId="5" borderId="0" xfId="1" applyNumberFormat="1" applyFont="1" applyFill="1" applyAlignment="1"/>
    <xf numFmtId="3" fontId="10" fillId="5" borderId="0" xfId="0" applyNumberFormat="1" applyFont="1" applyFill="1" applyAlignment="1">
      <alignment vertical="center"/>
    </xf>
    <xf numFmtId="164" fontId="10" fillId="5" borderId="0" xfId="1" applyFont="1" applyFill="1" applyAlignment="1">
      <alignment vertical="center"/>
    </xf>
    <xf numFmtId="164" fontId="5" fillId="5" borderId="0" xfId="1" applyFont="1" applyFill="1" applyAlignment="1"/>
    <xf numFmtId="164" fontId="5" fillId="5" borderId="0" xfId="0" applyNumberFormat="1" applyFont="1" applyFill="1"/>
    <xf numFmtId="3" fontId="6" fillId="4" borderId="0" xfId="0" applyNumberFormat="1" applyFont="1" applyFill="1" applyAlignment="1">
      <alignment vertical="center"/>
    </xf>
    <xf numFmtId="1" fontId="6" fillId="4" borderId="0" xfId="0" applyNumberFormat="1" applyFont="1" applyFill="1" applyAlignment="1">
      <alignment vertical="center"/>
    </xf>
    <xf numFmtId="0" fontId="5" fillId="4" borderId="0" xfId="0" applyFont="1" applyFill="1" applyAlignment="1">
      <alignment vertical="center"/>
    </xf>
    <xf numFmtId="171" fontId="5" fillId="4" borderId="0" xfId="0" applyNumberFormat="1" applyFont="1" applyFill="1"/>
    <xf numFmtId="3" fontId="6" fillId="7" borderId="0" xfId="0" applyNumberFormat="1" applyFont="1" applyFill="1" applyAlignment="1">
      <alignment vertical="center"/>
    </xf>
    <xf numFmtId="0" fontId="5" fillId="0" borderId="0" xfId="0" applyFont="1" applyAlignment="1">
      <alignment horizontal="right" vertical="center"/>
    </xf>
    <xf numFmtId="166" fontId="10" fillId="0" borderId="0" xfId="0" applyNumberFormat="1" applyFont="1" applyAlignment="1">
      <alignment horizontal="center" vertical="center"/>
    </xf>
    <xf numFmtId="171" fontId="10" fillId="0" borderId="0" xfId="0" applyNumberFormat="1" applyFont="1" applyAlignment="1">
      <alignment horizontal="center" vertical="center"/>
    </xf>
    <xf numFmtId="3" fontId="5" fillId="4" borderId="0" xfId="0" applyNumberFormat="1" applyFont="1" applyFill="1" applyAlignment="1">
      <alignment horizontal="right" vertical="center"/>
    </xf>
    <xf numFmtId="165" fontId="6" fillId="4" borderId="0" xfId="1" applyNumberFormat="1" applyFont="1" applyFill="1" applyAlignment="1">
      <alignment vertical="center"/>
    </xf>
    <xf numFmtId="165" fontId="5" fillId="7" borderId="1" xfId="0" applyNumberFormat="1" applyFont="1" applyFill="1" applyBorder="1"/>
    <xf numFmtId="165" fontId="6" fillId="4" borderId="0" xfId="1" applyNumberFormat="1" applyFont="1" applyFill="1" applyBorder="1" applyAlignment="1">
      <alignment vertical="center"/>
    </xf>
    <xf numFmtId="1" fontId="5" fillId="4" borderId="0" xfId="0" applyNumberFormat="1" applyFont="1" applyFill="1" applyAlignment="1">
      <alignment vertical="center"/>
    </xf>
    <xf numFmtId="165" fontId="5" fillId="0" borderId="12" xfId="1" applyNumberFormat="1" applyFont="1" applyFill="1" applyBorder="1"/>
    <xf numFmtId="165" fontId="0" fillId="0" borderId="0" xfId="1" applyNumberFormat="1" applyFont="1" applyFill="1" applyBorder="1"/>
    <xf numFmtId="0" fontId="16" fillId="0" borderId="0" xfId="0" applyFont="1"/>
    <xf numFmtId="3" fontId="5" fillId="4" borderId="0" xfId="0" applyNumberFormat="1" applyFont="1" applyFill="1"/>
    <xf numFmtId="0" fontId="2" fillId="4" borderId="0" xfId="0" applyFont="1" applyFill="1"/>
    <xf numFmtId="0" fontId="14" fillId="0" borderId="0" xfId="0" applyFont="1" applyAlignment="1">
      <alignment horizontal="right" vertical="center"/>
    </xf>
    <xf numFmtId="167" fontId="5" fillId="0" borderId="0" xfId="0" applyNumberFormat="1" applyFont="1" applyAlignment="1">
      <alignment horizontal="center" vertical="center"/>
    </xf>
    <xf numFmtId="166" fontId="10" fillId="4" borderId="0" xfId="0" applyNumberFormat="1" applyFont="1" applyFill="1" applyAlignment="1">
      <alignment horizontal="center" vertical="center"/>
    </xf>
    <xf numFmtId="3" fontId="5" fillId="7" borderId="0" xfId="0" applyNumberFormat="1" applyFont="1" applyFill="1" applyAlignment="1">
      <alignment horizontal="center" vertical="center"/>
    </xf>
    <xf numFmtId="0" fontId="30" fillId="4" borderId="0" xfId="0" applyFont="1" applyFill="1" applyAlignment="1">
      <alignment vertical="center"/>
    </xf>
    <xf numFmtId="0" fontId="10" fillId="4" borderId="0" xfId="0" quotePrefix="1" applyFont="1" applyFill="1" applyAlignment="1">
      <alignment horizontal="center" vertical="center"/>
    </xf>
    <xf numFmtId="0" fontId="10" fillId="4" borderId="8" xfId="0" quotePrefix="1" applyFont="1" applyFill="1" applyBorder="1" applyAlignment="1">
      <alignment horizontal="center" vertical="center"/>
    </xf>
    <xf numFmtId="169" fontId="30" fillId="2" borderId="0" xfId="1" applyNumberFormat="1" applyFont="1" applyFill="1"/>
    <xf numFmtId="165" fontId="5" fillId="0" borderId="15" xfId="1" applyNumberFormat="1" applyFont="1" applyBorder="1"/>
    <xf numFmtId="0" fontId="6" fillId="0" borderId="4" xfId="0" applyFont="1" applyBorder="1"/>
    <xf numFmtId="0" fontId="6" fillId="7" borderId="1" xfId="0" applyFont="1" applyFill="1" applyBorder="1"/>
    <xf numFmtId="0" fontId="6" fillId="7" borderId="15" xfId="0" applyFont="1" applyFill="1" applyBorder="1"/>
    <xf numFmtId="0" fontId="6" fillId="7" borderId="12" xfId="0" applyFont="1" applyFill="1" applyBorder="1"/>
    <xf numFmtId="165" fontId="5" fillId="11" borderId="0" xfId="1" applyNumberFormat="1" applyFont="1" applyFill="1"/>
    <xf numFmtId="0" fontId="5" fillId="11" borderId="0" xfId="0" applyFont="1" applyFill="1"/>
    <xf numFmtId="0" fontId="6" fillId="11" borderId="0" xfId="0" applyFont="1" applyFill="1"/>
    <xf numFmtId="9" fontId="5" fillId="11" borderId="0" xfId="0" applyNumberFormat="1" applyFont="1" applyFill="1"/>
    <xf numFmtId="165" fontId="6" fillId="7" borderId="0" xfId="1" applyNumberFormat="1" applyFont="1" applyFill="1"/>
    <xf numFmtId="2" fontId="6" fillId="7" borderId="0" xfId="0" applyNumberFormat="1" applyFont="1" applyFill="1"/>
    <xf numFmtId="0" fontId="6" fillId="11" borderId="0" xfId="0" applyFont="1" applyFill="1" applyAlignment="1">
      <alignment wrapText="1"/>
    </xf>
    <xf numFmtId="9" fontId="5" fillId="0" borderId="1" xfId="1" applyNumberFormat="1" applyFont="1" applyBorder="1" applyProtection="1">
      <protection locked="0"/>
    </xf>
    <xf numFmtId="9" fontId="5" fillId="0" borderId="12" xfId="1" applyNumberFormat="1" applyFont="1" applyBorder="1" applyProtection="1">
      <protection locked="0"/>
    </xf>
    <xf numFmtId="1" fontId="5" fillId="0" borderId="1" xfId="1" applyNumberFormat="1" applyFont="1" applyBorder="1" applyProtection="1">
      <protection locked="0"/>
    </xf>
    <xf numFmtId="9" fontId="5" fillId="2" borderId="0" xfId="1" applyNumberFormat="1" applyFont="1" applyFill="1" applyProtection="1">
      <protection locked="0"/>
    </xf>
    <xf numFmtId="167" fontId="5" fillId="0" borderId="1" xfId="1" applyNumberFormat="1" applyFont="1" applyBorder="1" applyProtection="1">
      <protection locked="0"/>
    </xf>
    <xf numFmtId="165" fontId="17" fillId="0" borderId="22" xfId="1" applyNumberFormat="1" applyFont="1" applyFill="1" applyBorder="1" applyAlignment="1" applyProtection="1">
      <alignment vertical="center" wrapText="1"/>
      <protection locked="0"/>
    </xf>
    <xf numFmtId="165" fontId="5" fillId="0" borderId="15" xfId="1" applyNumberFormat="1" applyFont="1" applyBorder="1" applyAlignment="1" applyProtection="1">
      <alignment vertical="center"/>
      <protection locked="0"/>
    </xf>
    <xf numFmtId="165" fontId="17" fillId="0" borderId="23" xfId="1" applyNumberFormat="1" applyFont="1" applyFill="1" applyBorder="1" applyAlignment="1" applyProtection="1">
      <alignment vertical="center" wrapText="1"/>
      <protection locked="0"/>
    </xf>
    <xf numFmtId="165" fontId="5" fillId="0" borderId="12" xfId="1" applyNumberFormat="1" applyFont="1" applyBorder="1" applyAlignment="1" applyProtection="1">
      <alignment vertical="center"/>
      <protection locked="0"/>
    </xf>
    <xf numFmtId="165" fontId="5" fillId="0" borderId="13" xfId="1" applyNumberFormat="1" applyFont="1" applyBorder="1" applyAlignment="1" applyProtection="1">
      <alignment vertical="center"/>
      <protection locked="0"/>
    </xf>
    <xf numFmtId="165" fontId="17" fillId="0" borderId="17" xfId="1" applyNumberFormat="1" applyFont="1" applyFill="1" applyBorder="1" applyAlignment="1" applyProtection="1">
      <alignment horizontal="center" vertical="center" wrapText="1"/>
      <protection locked="0"/>
    </xf>
    <xf numFmtId="165" fontId="17" fillId="0" borderId="18" xfId="1" applyNumberFormat="1" applyFont="1" applyBorder="1" applyAlignment="1" applyProtection="1">
      <alignment horizontal="center" vertical="center" wrapText="1"/>
      <protection locked="0"/>
    </xf>
    <xf numFmtId="165" fontId="17" fillId="0" borderId="25" xfId="1" applyNumberFormat="1" applyFont="1" applyFill="1" applyBorder="1" applyAlignment="1" applyProtection="1">
      <alignment vertical="center" wrapText="1"/>
      <protection locked="0"/>
    </xf>
    <xf numFmtId="165" fontId="17" fillId="0" borderId="22" xfId="1" applyNumberFormat="1" applyFont="1" applyFill="1" applyBorder="1" applyAlignment="1" applyProtection="1">
      <alignment horizontal="center" vertical="center" wrapText="1"/>
      <protection locked="0"/>
    </xf>
    <xf numFmtId="165" fontId="17" fillId="0" borderId="1" xfId="1" applyNumberFormat="1" applyFont="1" applyBorder="1" applyAlignment="1" applyProtection="1">
      <alignment horizontal="center" vertical="center" wrapText="1"/>
      <protection locked="0"/>
    </xf>
    <xf numFmtId="165" fontId="17" fillId="0" borderId="17" xfId="1" applyNumberFormat="1" applyFont="1" applyFill="1" applyBorder="1" applyAlignment="1" applyProtection="1">
      <alignment vertical="center" wrapText="1"/>
      <protection locked="0"/>
    </xf>
    <xf numFmtId="165" fontId="17" fillId="0" borderId="18" xfId="1" applyNumberFormat="1" applyFont="1" applyBorder="1" applyAlignment="1" applyProtection="1">
      <alignment vertical="center" wrapText="1"/>
      <protection locked="0"/>
    </xf>
    <xf numFmtId="165" fontId="17" fillId="0" borderId="18" xfId="1" applyNumberFormat="1" applyFont="1" applyFill="1" applyBorder="1" applyAlignment="1" applyProtection="1">
      <alignment vertical="center" wrapText="1"/>
      <protection locked="0"/>
    </xf>
    <xf numFmtId="165" fontId="17" fillId="0" borderId="20" xfId="1" applyNumberFormat="1" applyFont="1" applyFill="1" applyBorder="1" applyAlignment="1" applyProtection="1">
      <alignment vertical="center" wrapText="1"/>
      <protection locked="0"/>
    </xf>
    <xf numFmtId="165" fontId="17" fillId="0" borderId="20" xfId="1" applyNumberFormat="1" applyFont="1" applyBorder="1" applyAlignment="1" applyProtection="1">
      <alignment vertical="center" wrapText="1"/>
      <protection locked="0"/>
    </xf>
    <xf numFmtId="165" fontId="5" fillId="0" borderId="1" xfId="1" applyNumberFormat="1" applyFont="1" applyFill="1" applyBorder="1" applyProtection="1">
      <protection locked="0"/>
    </xf>
    <xf numFmtId="165" fontId="5" fillId="0" borderId="1" xfId="1" applyNumberFormat="1" applyFont="1" applyBorder="1" applyProtection="1">
      <protection locked="0"/>
    </xf>
    <xf numFmtId="165" fontId="5" fillId="0" borderId="0" xfId="1" applyNumberFormat="1" applyFont="1" applyFill="1" applyProtection="1">
      <protection locked="0"/>
    </xf>
    <xf numFmtId="165" fontId="5" fillId="0" borderId="0" xfId="1" applyNumberFormat="1" applyFont="1" applyProtection="1">
      <protection locked="0"/>
    </xf>
    <xf numFmtId="9" fontId="5" fillId="0" borderId="3" xfId="0" applyNumberFormat="1" applyFont="1" applyBorder="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9" fontId="5" fillId="0" borderId="8" xfId="0" applyNumberFormat="1" applyFont="1" applyBorder="1" applyAlignment="1" applyProtection="1">
      <alignment horizontal="center" vertical="center"/>
      <protection locked="0"/>
    </xf>
    <xf numFmtId="2" fontId="5" fillId="0" borderId="8" xfId="0" applyNumberFormat="1" applyFont="1" applyBorder="1" applyAlignment="1" applyProtection="1">
      <alignment horizontal="center" vertical="center"/>
      <protection locked="0"/>
    </xf>
    <xf numFmtId="4" fontId="10" fillId="4" borderId="3" xfId="0" applyNumberFormat="1" applyFont="1" applyFill="1" applyBorder="1" applyAlignment="1">
      <alignment horizontal="center" vertical="center"/>
    </xf>
    <xf numFmtId="169" fontId="10" fillId="4" borderId="3" xfId="1" applyNumberFormat="1" applyFont="1" applyFill="1" applyBorder="1" applyAlignment="1">
      <alignment horizontal="center" vertical="center"/>
    </xf>
    <xf numFmtId="4" fontId="10" fillId="4" borderId="0" xfId="0" applyNumberFormat="1" applyFont="1" applyFill="1" applyAlignment="1">
      <alignment horizontal="center" vertical="center"/>
    </xf>
    <xf numFmtId="169" fontId="10" fillId="4" borderId="0" xfId="1" applyNumberFormat="1" applyFont="1" applyFill="1" applyBorder="1" applyAlignment="1">
      <alignment horizontal="center" vertical="center"/>
    </xf>
    <xf numFmtId="4" fontId="10" fillId="4" borderId="8" xfId="0" applyNumberFormat="1" applyFont="1" applyFill="1" applyBorder="1" applyAlignment="1">
      <alignment horizontal="center" vertical="center"/>
    </xf>
    <xf numFmtId="169" fontId="10" fillId="4" borderId="8" xfId="1" applyNumberFormat="1" applyFont="1" applyFill="1" applyBorder="1" applyAlignment="1">
      <alignment horizontal="center" vertical="center"/>
    </xf>
    <xf numFmtId="165" fontId="10" fillId="4" borderId="3" xfId="1" applyNumberFormat="1" applyFont="1" applyFill="1" applyBorder="1" applyAlignment="1">
      <alignment horizontal="center" vertical="center"/>
    </xf>
    <xf numFmtId="164" fontId="10" fillId="4" borderId="3" xfId="1" applyFont="1" applyFill="1" applyBorder="1" applyAlignment="1">
      <alignment horizontal="center" vertical="center"/>
    </xf>
    <xf numFmtId="165" fontId="10" fillId="4" borderId="0" xfId="1" applyNumberFormat="1" applyFont="1" applyFill="1" applyBorder="1" applyAlignment="1">
      <alignment horizontal="center" vertical="center"/>
    </xf>
    <xf numFmtId="165" fontId="10" fillId="4" borderId="8" xfId="1" applyNumberFormat="1" applyFont="1" applyFill="1" applyBorder="1" applyAlignment="1">
      <alignment horizontal="center" vertical="center"/>
    </xf>
    <xf numFmtId="170" fontId="10" fillId="4" borderId="3" xfId="1" applyNumberFormat="1" applyFont="1" applyFill="1" applyBorder="1" applyAlignment="1">
      <alignment horizontal="center" vertical="center"/>
    </xf>
    <xf numFmtId="170" fontId="10" fillId="4" borderId="0" xfId="1" applyNumberFormat="1" applyFont="1" applyFill="1" applyBorder="1" applyAlignment="1">
      <alignment horizontal="center" vertical="center"/>
    </xf>
    <xf numFmtId="170" fontId="10" fillId="4" borderId="0" xfId="1" quotePrefix="1" applyNumberFormat="1" applyFont="1" applyFill="1" applyBorder="1" applyAlignment="1">
      <alignment horizontal="center" vertical="center"/>
    </xf>
    <xf numFmtId="170" fontId="10" fillId="4" borderId="8" xfId="1" quotePrefix="1" applyNumberFormat="1" applyFont="1" applyFill="1" applyBorder="1" applyAlignment="1">
      <alignment horizontal="center" vertical="center"/>
    </xf>
    <xf numFmtId="0" fontId="5" fillId="0" borderId="0" xfId="0" applyFont="1" applyAlignment="1" applyProtection="1">
      <alignment horizontal="center" vertical="center"/>
      <protection locked="0"/>
    </xf>
    <xf numFmtId="1" fontId="5"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5" fillId="0" borderId="1" xfId="0" applyFont="1" applyBorder="1" applyProtection="1">
      <protection locked="0"/>
    </xf>
    <xf numFmtId="0" fontId="5" fillId="0" borderId="1" xfId="0" applyFont="1" applyBorder="1" applyAlignment="1" applyProtection="1">
      <alignment horizontal="left" vertical="center"/>
      <protection locked="0"/>
    </xf>
    <xf numFmtId="1" fontId="5" fillId="0" borderId="1" xfId="0" applyNumberFormat="1" applyFont="1" applyBorder="1" applyAlignment="1" applyProtection="1">
      <alignment horizontal="right" vertical="center"/>
      <protection locked="0"/>
    </xf>
    <xf numFmtId="0" fontId="5" fillId="0" borderId="1" xfId="0" applyFont="1" applyBorder="1" applyAlignment="1" applyProtection="1">
      <alignment horizontal="right" vertical="center"/>
      <protection locked="0"/>
    </xf>
    <xf numFmtId="0" fontId="5" fillId="0" borderId="1" xfId="0" applyFont="1" applyBorder="1" applyAlignment="1" applyProtection="1">
      <alignment horizontal="right"/>
      <protection locked="0"/>
    </xf>
    <xf numFmtId="0" fontId="5" fillId="0" borderId="1" xfId="0" applyFont="1" applyBorder="1" applyAlignment="1" applyProtection="1">
      <alignment vertical="center"/>
      <protection locked="0"/>
    </xf>
    <xf numFmtId="1" fontId="5"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5" xfId="0" applyFont="1" applyBorder="1" applyProtection="1">
      <protection locked="0"/>
    </xf>
    <xf numFmtId="0" fontId="5" fillId="0" borderId="0" xfId="0" applyFont="1" applyProtection="1">
      <protection locked="0"/>
    </xf>
    <xf numFmtId="2" fontId="5" fillId="0" borderId="0" xfId="0" applyNumberFormat="1" applyFont="1" applyProtection="1">
      <protection locked="0"/>
    </xf>
    <xf numFmtId="9" fontId="5" fillId="0" borderId="0" xfId="0" applyNumberFormat="1" applyFont="1" applyProtection="1">
      <protection locked="0"/>
    </xf>
    <xf numFmtId="9" fontId="5" fillId="2" borderId="0" xfId="0" applyNumberFormat="1" applyFont="1" applyFill="1" applyProtection="1">
      <protection locked="0"/>
    </xf>
    <xf numFmtId="0" fontId="5" fillId="2" borderId="0" xfId="0" applyFont="1" applyFill="1" applyProtection="1">
      <protection locked="0"/>
    </xf>
    <xf numFmtId="0" fontId="5" fillId="3" borderId="0" xfId="0" applyFont="1" applyFill="1" applyProtection="1">
      <protection locked="0"/>
    </xf>
    <xf numFmtId="0" fontId="6" fillId="0" borderId="0" xfId="0" applyFont="1" applyProtection="1">
      <protection locked="0"/>
    </xf>
    <xf numFmtId="0" fontId="5" fillId="0" borderId="0" xfId="0" applyFont="1" applyAlignment="1" applyProtection="1">
      <alignment vertical="center"/>
      <protection locked="0"/>
    </xf>
    <xf numFmtId="3" fontId="5" fillId="0" borderId="0" xfId="0" applyNumberFormat="1" applyFont="1" applyAlignment="1" applyProtection="1">
      <alignment vertical="center"/>
      <protection locked="0"/>
    </xf>
    <xf numFmtId="1" fontId="10" fillId="0" borderId="0" xfId="0" applyNumberFormat="1" applyFont="1" applyAlignment="1" applyProtection="1">
      <alignment horizontal="center" vertical="center"/>
      <protection locked="0"/>
    </xf>
    <xf numFmtId="168" fontId="10" fillId="0" borderId="1" xfId="0" applyNumberFormat="1" applyFont="1" applyBorder="1" applyAlignment="1" applyProtection="1">
      <alignment horizontal="center" vertical="center"/>
      <protection locked="0"/>
    </xf>
    <xf numFmtId="165" fontId="3" fillId="0" borderId="0" xfId="1" applyNumberFormat="1" applyFont="1" applyProtection="1">
      <protection locked="0"/>
    </xf>
    <xf numFmtId="0" fontId="3" fillId="0" borderId="0" xfId="0" applyFont="1" applyProtection="1">
      <protection locked="0"/>
    </xf>
    <xf numFmtId="165" fontId="6" fillId="7" borderId="0" xfId="1" applyNumberFormat="1" applyFont="1" applyFill="1" applyBorder="1"/>
    <xf numFmtId="1" fontId="30" fillId="0" borderId="1" xfId="1" applyNumberFormat="1" applyFont="1" applyBorder="1" applyProtection="1">
      <protection locked="0"/>
    </xf>
    <xf numFmtId="165" fontId="15" fillId="2" borderId="0" xfId="0" applyNumberFormat="1" applyFont="1" applyFill="1"/>
    <xf numFmtId="165" fontId="24" fillId="0" borderId="0" xfId="1" applyNumberFormat="1" applyFont="1" applyProtection="1">
      <protection locked="0"/>
    </xf>
    <xf numFmtId="166" fontId="5" fillId="0" borderId="0" xfId="0" applyNumberFormat="1" applyFont="1" applyAlignment="1">
      <alignment horizontal="center" vertical="center"/>
    </xf>
    <xf numFmtId="3" fontId="30" fillId="0" borderId="0" xfId="0" applyNumberFormat="1" applyFont="1" applyAlignment="1" applyProtection="1">
      <alignment vertical="center"/>
      <protection locked="0"/>
    </xf>
    <xf numFmtId="0" fontId="0" fillId="2" borderId="6" xfId="0" applyFill="1" applyBorder="1"/>
    <xf numFmtId="0" fontId="0" fillId="2" borderId="9" xfId="0" applyFill="1" applyBorder="1"/>
    <xf numFmtId="0" fontId="6" fillId="2" borderId="0" xfId="0" applyFont="1" applyFill="1" applyAlignment="1">
      <alignment horizontal="center"/>
    </xf>
    <xf numFmtId="0" fontId="6" fillId="2" borderId="0" xfId="0" applyFont="1" applyFill="1" applyAlignment="1">
      <alignment horizontal="left"/>
    </xf>
    <xf numFmtId="0" fontId="10" fillId="0" borderId="0" xfId="0" applyFont="1" applyAlignment="1">
      <alignment horizontal="center" vertical="center"/>
    </xf>
    <xf numFmtId="0" fontId="30" fillId="0" borderId="0" xfId="0" applyFont="1" applyAlignment="1">
      <alignment horizontal="center" vertical="center"/>
    </xf>
    <xf numFmtId="165" fontId="10" fillId="0" borderId="0" xfId="1" applyNumberFormat="1" applyFont="1" applyProtection="1">
      <protection locked="0"/>
    </xf>
    <xf numFmtId="164" fontId="5" fillId="4" borderId="0" xfId="0" applyNumberFormat="1" applyFont="1" applyFill="1"/>
    <xf numFmtId="164" fontId="10" fillId="4" borderId="0" xfId="0" applyNumberFormat="1" applyFont="1" applyFill="1"/>
    <xf numFmtId="3" fontId="5" fillId="0" borderId="15" xfId="0" applyNumberFormat="1" applyFont="1" applyBorder="1"/>
    <xf numFmtId="3" fontId="5" fillId="0" borderId="12" xfId="0" applyNumberFormat="1" applyFont="1" applyBorder="1"/>
    <xf numFmtId="3" fontId="5" fillId="0" borderId="13" xfId="0" applyNumberFormat="1" applyFont="1" applyBorder="1"/>
    <xf numFmtId="164" fontId="5" fillId="0" borderId="15" xfId="1" applyFont="1" applyBorder="1"/>
    <xf numFmtId="164" fontId="5" fillId="0" borderId="12" xfId="1" applyFont="1" applyBorder="1"/>
    <xf numFmtId="164" fontId="5" fillId="0" borderId="13" xfId="1" applyFont="1" applyBorder="1"/>
    <xf numFmtId="0" fontId="3" fillId="12" borderId="0" xfId="0" applyFont="1" applyFill="1"/>
    <xf numFmtId="172" fontId="5" fillId="4" borderId="0" xfId="0" applyNumberFormat="1" applyFont="1" applyFill="1" applyAlignment="1">
      <alignment horizontal="center" vertical="center"/>
    </xf>
    <xf numFmtId="2" fontId="5" fillId="11" borderId="0" xfId="0" applyNumberFormat="1" applyFont="1" applyFill="1"/>
    <xf numFmtId="2" fontId="5" fillId="0" borderId="0" xfId="0" applyNumberFormat="1" applyFont="1"/>
    <xf numFmtId="2" fontId="5" fillId="7" borderId="0" xfId="0" applyNumberFormat="1" applyFont="1" applyFill="1"/>
    <xf numFmtId="165" fontId="5" fillId="4" borderId="0" xfId="0" applyNumberFormat="1" applyFont="1" applyFill="1"/>
    <xf numFmtId="9" fontId="5" fillId="4" borderId="0" xfId="2" applyFont="1" applyFill="1"/>
    <xf numFmtId="9" fontId="5" fillId="0" borderId="0" xfId="2" applyFont="1"/>
    <xf numFmtId="173" fontId="5" fillId="0" borderId="0" xfId="2" applyNumberFormat="1" applyFont="1"/>
    <xf numFmtId="174" fontId="5" fillId="4" borderId="0" xfId="2" applyNumberFormat="1" applyFont="1" applyFill="1"/>
    <xf numFmtId="174" fontId="5" fillId="0" borderId="0" xfId="0" applyNumberFormat="1" applyFont="1"/>
    <xf numFmtId="164" fontId="0" fillId="7" borderId="0" xfId="0" applyNumberFormat="1" applyFill="1"/>
    <xf numFmtId="0" fontId="5" fillId="13" borderId="0" xfId="0" applyFont="1" applyFill="1"/>
    <xf numFmtId="165" fontId="5" fillId="13" borderId="0" xfId="0" applyNumberFormat="1" applyFont="1" applyFill="1"/>
    <xf numFmtId="2" fontId="3" fillId="0" borderId="0" xfId="0" applyNumberFormat="1" applyFont="1"/>
    <xf numFmtId="10" fontId="5" fillId="4" borderId="0" xfId="2" applyNumberFormat="1" applyFont="1" applyFill="1"/>
    <xf numFmtId="10" fontId="5" fillId="4" borderId="0" xfId="0" applyNumberFormat="1" applyFont="1" applyFill="1"/>
    <xf numFmtId="165" fontId="5" fillId="0" borderId="0" xfId="0" applyNumberFormat="1" applyFont="1" applyAlignment="1">
      <alignment horizontal="right"/>
    </xf>
    <xf numFmtId="0" fontId="5" fillId="0" borderId="0" xfId="0" applyFont="1" applyAlignment="1">
      <alignment horizontal="right"/>
    </xf>
    <xf numFmtId="10" fontId="5" fillId="0" borderId="0" xfId="2" applyNumberFormat="1" applyFont="1"/>
    <xf numFmtId="10" fontId="5" fillId="7" borderId="0" xfId="0" applyNumberFormat="1" applyFont="1" applyFill="1"/>
    <xf numFmtId="0" fontId="36" fillId="0" borderId="0" xfId="0" applyFont="1" applyAlignment="1">
      <alignment horizontal="right" vertical="center" wrapText="1"/>
    </xf>
    <xf numFmtId="0" fontId="36" fillId="0" borderId="31" xfId="0" applyFont="1" applyBorder="1" applyAlignment="1">
      <alignment horizontal="right" vertical="center" wrapText="1"/>
    </xf>
    <xf numFmtId="0" fontId="0" fillId="3" borderId="0" xfId="0" applyFill="1"/>
    <xf numFmtId="165" fontId="36" fillId="0" borderId="0" xfId="1" applyNumberFormat="1" applyFont="1" applyAlignment="1">
      <alignment horizontal="right" vertical="center" wrapText="1"/>
    </xf>
    <xf numFmtId="9" fontId="36" fillId="0" borderId="0" xfId="2" applyFont="1" applyAlignment="1">
      <alignment horizontal="right" vertical="center" wrapText="1"/>
    </xf>
    <xf numFmtId="165" fontId="36" fillId="0" borderId="0" xfId="1" applyNumberFormat="1" applyFont="1" applyAlignment="1">
      <alignment vertical="center" wrapText="1"/>
    </xf>
    <xf numFmtId="165" fontId="36" fillId="0" borderId="31" xfId="1" applyNumberFormat="1" applyFont="1" applyBorder="1" applyAlignment="1">
      <alignment vertical="center" wrapText="1"/>
    </xf>
    <xf numFmtId="9" fontId="36" fillId="0" borderId="32" xfId="2" applyFont="1" applyBorder="1" applyAlignment="1">
      <alignment horizontal="right" vertical="center" wrapText="1"/>
    </xf>
    <xf numFmtId="4" fontId="3" fillId="0" borderId="0" xfId="0" applyNumberFormat="1" applyFont="1"/>
    <xf numFmtId="9" fontId="5" fillId="0" borderId="0" xfId="2" applyFont="1" applyBorder="1" applyProtection="1">
      <protection locked="0"/>
    </xf>
    <xf numFmtId="10" fontId="5" fillId="0" borderId="0" xfId="0" applyNumberFormat="1" applyFont="1"/>
    <xf numFmtId="0" fontId="6" fillId="2" borderId="0" xfId="0" applyFont="1" applyFill="1" applyAlignment="1">
      <alignment horizontal="left" wrapText="1"/>
    </xf>
    <xf numFmtId="0" fontId="38" fillId="0" borderId="29" xfId="0" applyFont="1" applyBorder="1" applyAlignment="1">
      <alignment horizontal="center" vertical="center" wrapText="1"/>
    </xf>
    <xf numFmtId="0" fontId="38" fillId="0" borderId="30" xfId="0" applyFont="1" applyBorder="1" applyAlignment="1">
      <alignment horizontal="left" vertical="center" wrapText="1"/>
    </xf>
    <xf numFmtId="0" fontId="38" fillId="0" borderId="0" xfId="0" applyFont="1" applyAlignment="1">
      <alignment horizontal="left" vertical="center" wrapText="1"/>
    </xf>
    <xf numFmtId="0" fontId="38" fillId="0" borderId="31" xfId="0" applyFont="1" applyBorder="1" applyAlignment="1">
      <alignment horizontal="left" vertical="center" wrapText="1"/>
    </xf>
    <xf numFmtId="0" fontId="36" fillId="0" borderId="0" xfId="0" applyFont="1" applyAlignment="1">
      <alignment horizontal="right" vertical="center" wrapText="1"/>
    </xf>
    <xf numFmtId="0" fontId="36" fillId="0" borderId="31" xfId="0" applyFont="1" applyBorder="1" applyAlignment="1">
      <alignment horizontal="right" vertical="center" wrapText="1"/>
    </xf>
    <xf numFmtId="165" fontId="36" fillId="0" borderId="0" xfId="1" applyNumberFormat="1" applyFont="1" applyAlignment="1">
      <alignment horizontal="right" vertical="center" wrapText="1"/>
    </xf>
    <xf numFmtId="165" fontId="36" fillId="0" borderId="31" xfId="1" applyNumberFormat="1" applyFont="1" applyBorder="1" applyAlignment="1">
      <alignment horizontal="right" vertical="center" wrapText="1"/>
    </xf>
    <xf numFmtId="0" fontId="38" fillId="0" borderId="31" xfId="0" applyFont="1" applyBorder="1" applyAlignment="1">
      <alignment horizontal="center" vertical="center" wrapText="1"/>
    </xf>
    <xf numFmtId="0" fontId="38" fillId="0" borderId="0" xfId="0" applyFont="1" applyAlignment="1">
      <alignment horizontal="center" vertical="center" wrapText="1"/>
    </xf>
    <xf numFmtId="9" fontId="36" fillId="0" borderId="0" xfId="2" applyFont="1" applyAlignment="1">
      <alignment horizontal="right" vertical="center" wrapText="1"/>
    </xf>
    <xf numFmtId="9" fontId="36" fillId="0" borderId="31" xfId="2" applyFont="1" applyBorder="1" applyAlignment="1">
      <alignment horizontal="right" vertical="center" wrapText="1"/>
    </xf>
    <xf numFmtId="0" fontId="36" fillId="0" borderId="0" xfId="0" applyFont="1" applyAlignment="1">
      <alignment horizontal="center" vertical="center" wrapText="1"/>
    </xf>
    <xf numFmtId="0" fontId="36" fillId="0" borderId="0" xfId="0" applyFont="1" applyAlignment="1">
      <alignment horizontal="center" wrapText="1"/>
    </xf>
    <xf numFmtId="165" fontId="5" fillId="0" borderId="17" xfId="1" applyNumberFormat="1" applyFont="1" applyBorder="1" applyAlignment="1">
      <alignment horizontal="center" vertical="center" wrapText="1"/>
    </xf>
    <xf numFmtId="165" fontId="5" fillId="0" borderId="18" xfId="1" applyNumberFormat="1" applyFont="1" applyBorder="1" applyAlignment="1">
      <alignment horizontal="center" vertical="center" wrapText="1"/>
    </xf>
    <xf numFmtId="165" fontId="5" fillId="0" borderId="20" xfId="1" applyNumberFormat="1" applyFont="1" applyBorder="1" applyAlignment="1">
      <alignment horizontal="center" vertical="center" wrapText="1"/>
    </xf>
    <xf numFmtId="165" fontId="17" fillId="0" borderId="17" xfId="1" applyNumberFormat="1" applyFont="1" applyBorder="1" applyAlignment="1">
      <alignment horizontal="center" vertical="center" wrapText="1"/>
    </xf>
    <xf numFmtId="165" fontId="17" fillId="0" borderId="18" xfId="1" applyNumberFormat="1" applyFont="1" applyBorder="1" applyAlignment="1">
      <alignment horizontal="center" vertical="center" wrapText="1"/>
    </xf>
    <xf numFmtId="165" fontId="5" fillId="0" borderId="19" xfId="1" applyNumberFormat="1" applyFont="1" applyBorder="1" applyAlignment="1">
      <alignment horizontal="center" vertical="center" wrapText="1"/>
    </xf>
    <xf numFmtId="0" fontId="3" fillId="0" borderId="3" xfId="0" applyFont="1" applyBorder="1" applyAlignment="1">
      <alignment horizontal="center"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3" fillId="0" borderId="8" xfId="0" applyFont="1" applyBorder="1" applyAlignment="1">
      <alignment horizontal="center" vertical="center" wrapText="1"/>
    </xf>
    <xf numFmtId="0" fontId="23" fillId="0" borderId="10" xfId="0" applyFont="1" applyBorder="1" applyAlignment="1">
      <alignment horizontal="center"/>
    </xf>
    <xf numFmtId="0" fontId="6" fillId="4" borderId="0" xfId="0" applyFont="1" applyFill="1" applyAlignment="1">
      <alignment horizontal="center" vertical="center"/>
    </xf>
    <xf numFmtId="0" fontId="6" fillId="4" borderId="0" xfId="0" applyFont="1" applyFill="1" applyAlignment="1">
      <alignment horizontal="center" vertical="center" wrapText="1"/>
    </xf>
    <xf numFmtId="168" fontId="10" fillId="0" borderId="3" xfId="0" applyNumberFormat="1" applyFont="1" applyBorder="1" applyAlignment="1" applyProtection="1">
      <alignment horizontal="center" vertical="center"/>
      <protection locked="0"/>
    </xf>
    <xf numFmtId="168" fontId="10" fillId="0" borderId="0" xfId="0" applyNumberFormat="1" applyFont="1" applyAlignment="1" applyProtection="1">
      <alignment horizontal="center" vertical="center"/>
      <protection locked="0"/>
    </xf>
    <xf numFmtId="168" fontId="10" fillId="0" borderId="8" xfId="0" applyNumberFormat="1" applyFont="1" applyBorder="1" applyAlignment="1" applyProtection="1">
      <alignment horizontal="center" vertical="center"/>
      <protection locked="0"/>
    </xf>
    <xf numFmtId="9" fontId="5" fillId="0" borderId="3" xfId="0" applyNumberFormat="1" applyFont="1" applyBorder="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9" fontId="5" fillId="0" borderId="8" xfId="0" applyNumberFormat="1" applyFont="1" applyBorder="1" applyAlignment="1" applyProtection="1">
      <alignment horizontal="center" vertical="center"/>
      <protection locked="0"/>
    </xf>
    <xf numFmtId="0" fontId="5" fillId="4" borderId="0" xfId="0" applyFont="1" applyFill="1" applyAlignment="1">
      <alignment horizontal="center" vertical="center" wrapText="1"/>
    </xf>
    <xf numFmtId="3" fontId="5" fillId="4" borderId="0" xfId="0" applyNumberFormat="1" applyFont="1" applyFill="1" applyAlignment="1">
      <alignment horizontal="center" vertical="center"/>
    </xf>
    <xf numFmtId="0" fontId="5" fillId="4" borderId="8" xfId="0" applyFont="1" applyFill="1" applyBorder="1" applyAlignment="1">
      <alignment horizontal="center" vertical="center" wrapText="1"/>
    </xf>
    <xf numFmtId="3" fontId="5" fillId="4" borderId="8" xfId="0" applyNumberFormat="1" applyFont="1" applyFill="1" applyBorder="1" applyAlignment="1">
      <alignment horizontal="center" vertical="center"/>
    </xf>
    <xf numFmtId="0" fontId="5" fillId="4" borderId="3" xfId="0" applyFont="1" applyFill="1" applyBorder="1" applyAlignment="1">
      <alignment horizontal="center" vertical="center" wrapText="1"/>
    </xf>
    <xf numFmtId="3" fontId="5" fillId="4" borderId="3" xfId="0" applyNumberFormat="1" applyFont="1" applyFill="1" applyBorder="1" applyAlignment="1">
      <alignment horizontal="center" vertical="center"/>
    </xf>
    <xf numFmtId="0" fontId="6" fillId="4" borderId="0" xfId="0" applyFont="1" applyFill="1" applyAlignment="1">
      <alignment horizontal="right" vertical="center"/>
    </xf>
    <xf numFmtId="0" fontId="6" fillId="0" borderId="0" xfId="0" applyFont="1" applyAlignment="1">
      <alignment horizontal="right"/>
    </xf>
    <xf numFmtId="172" fontId="6" fillId="0" borderId="0" xfId="0" applyNumberFormat="1" applyFont="1" applyAlignment="1">
      <alignment horizontal="center" vertical="center"/>
    </xf>
    <xf numFmtId="166" fontId="5" fillId="0" borderId="0" xfId="0" applyNumberFormat="1" applyFont="1" applyAlignment="1">
      <alignment horizontal="center" vertical="center"/>
    </xf>
    <xf numFmtId="0" fontId="6" fillId="4" borderId="8" xfId="0" applyFont="1" applyFill="1" applyBorder="1" applyAlignment="1">
      <alignment horizontal="center" vertical="center" wrapText="1"/>
    </xf>
    <xf numFmtId="0" fontId="6" fillId="0" borderId="0" xfId="0" applyFont="1" applyAlignment="1">
      <alignment horizontal="right" vertical="center"/>
    </xf>
    <xf numFmtId="167" fontId="6" fillId="0" borderId="0" xfId="0" applyNumberFormat="1" applyFont="1" applyAlignment="1">
      <alignment horizontal="center" vertical="center"/>
    </xf>
    <xf numFmtId="167" fontId="5" fillId="0" borderId="0" xfId="0" applyNumberFormat="1" applyFont="1" applyAlignment="1">
      <alignment horizontal="center" vertical="center"/>
    </xf>
    <xf numFmtId="3" fontId="6" fillId="0" borderId="0" xfId="0" applyNumberFormat="1" applyFont="1" applyAlignment="1">
      <alignment horizontal="center" vertical="center"/>
    </xf>
    <xf numFmtId="1" fontId="6" fillId="0" borderId="0" xfId="0" applyNumberFormat="1" applyFont="1" applyAlignment="1">
      <alignment horizontal="center" vertical="center"/>
    </xf>
    <xf numFmtId="0" fontId="5" fillId="0" borderId="0" xfId="0" applyFont="1" applyAlignment="1">
      <alignment horizontal="center" vertical="center"/>
    </xf>
    <xf numFmtId="165" fontId="5" fillId="4" borderId="0" xfId="1" applyNumberFormat="1" applyFont="1" applyFill="1" applyAlignment="1">
      <alignment horizontal="center" vertical="center"/>
    </xf>
    <xf numFmtId="1" fontId="5" fillId="4" borderId="0" xfId="0" applyNumberFormat="1" applyFont="1" applyFill="1" applyAlignment="1">
      <alignment horizontal="center" vertical="center"/>
    </xf>
    <xf numFmtId="0" fontId="5" fillId="4" borderId="0" xfId="0" applyFont="1" applyFill="1" applyAlignment="1">
      <alignment horizontal="center" vertical="center"/>
    </xf>
    <xf numFmtId="1" fontId="5" fillId="0" borderId="0" xfId="0" applyNumberFormat="1" applyFont="1" applyAlignment="1">
      <alignment horizontal="center" vertical="center"/>
    </xf>
    <xf numFmtId="0" fontId="10" fillId="4" borderId="0" xfId="0" applyFont="1" applyFill="1" applyAlignment="1">
      <alignment horizontal="center" vertical="center"/>
    </xf>
    <xf numFmtId="0" fontId="29" fillId="0" borderId="0" xfId="0" applyFont="1" applyAlignment="1" applyProtection="1">
      <alignment horizontal="center" vertical="center"/>
      <protection locked="0"/>
    </xf>
    <xf numFmtId="3" fontId="6" fillId="4" borderId="0" xfId="0" applyNumberFormat="1" applyFont="1" applyFill="1" applyAlignment="1">
      <alignment horizontal="center" vertical="center"/>
    </xf>
    <xf numFmtId="1" fontId="6" fillId="4" borderId="0" xfId="0" applyNumberFormat="1" applyFont="1" applyFill="1" applyAlignment="1">
      <alignment horizontal="center" vertical="center"/>
    </xf>
    <xf numFmtId="0" fontId="6" fillId="2" borderId="0" xfId="0" applyFont="1" applyFill="1" applyAlignment="1">
      <alignment horizontal="center" wrapText="1"/>
    </xf>
    <xf numFmtId="0" fontId="6" fillId="4" borderId="0" xfId="0" applyFont="1" applyFill="1" applyAlignment="1">
      <alignment horizontal="left" vertical="center"/>
    </xf>
    <xf numFmtId="171" fontId="6" fillId="0" borderId="0" xfId="0" applyNumberFormat="1" applyFont="1" applyAlignment="1">
      <alignment horizontal="center" vertical="center"/>
    </xf>
    <xf numFmtId="171" fontId="5" fillId="0" borderId="0" xfId="0" applyNumberFormat="1" applyFont="1" applyAlignment="1">
      <alignment horizontal="center" vertical="center"/>
    </xf>
    <xf numFmtId="166" fontId="6" fillId="0" borderId="0" xfId="0" applyNumberFormat="1" applyFont="1" applyAlignment="1">
      <alignment horizontal="center" vertical="center"/>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'End to end calculation'!$R$3</c:f>
              <c:strCache>
                <c:ptCount val="1"/>
                <c:pt idx="0">
                  <c:v>Methane (Direct)</c:v>
                </c:pt>
              </c:strCache>
            </c:strRef>
          </c:tx>
          <c:spPr>
            <a:solidFill>
              <a:schemeClr val="tx2">
                <a:lumMod val="40000"/>
                <a:lumOff val="60000"/>
              </a:schemeClr>
            </a:solidFill>
            <a:ln>
              <a:solidFill>
                <a:schemeClr val="bg2">
                  <a:lumMod val="25000"/>
                </a:schemeClr>
              </a:solidFill>
            </a:ln>
            <a:effectLst/>
          </c:spPr>
          <c:invertIfNegative val="0"/>
          <c:cat>
            <c:multiLvlStrRef>
              <c:f>'End to end calculation'!$P$4:$Q$11</c:f>
              <c:multiLvlStrCache>
                <c:ptCount val="8"/>
                <c:lvl>
                  <c:pt idx="0">
                    <c:v>Not safely contained at the household level</c:v>
                  </c:pt>
                  <c:pt idx="1">
                    <c:v>Safely contained and stored at household level </c:v>
                  </c:pt>
                  <c:pt idx="2">
                    <c:v>Collected at household level, dumped untreated</c:v>
                  </c:pt>
                  <c:pt idx="3">
                    <c:v>Collected at household level, delivered to treatment, discharged untreated</c:v>
                  </c:pt>
                  <c:pt idx="4">
                    <c:v>Collected at household level, delivered to treatment, treated and discharged</c:v>
                  </c:pt>
                  <c:pt idx="5">
                    <c:v>Leaking from sewers/ not delivered to treatment</c:v>
                  </c:pt>
                  <c:pt idx="6">
                    <c:v>Delivered to treatment, discharged untreated</c:v>
                  </c:pt>
                  <c:pt idx="7">
                    <c:v>Delivered to treatment, treated and dsicharged</c:v>
                  </c:pt>
                </c:lvl>
                <c:lvl>
                  <c:pt idx="0">
                    <c:v>(a)    Excreta in onsite systems (pit latrines, septic tanks and containers) with road based transport</c:v>
                  </c:pt>
                  <c:pt idx="5">
                    <c:v>(b) Excreta in offsite systems with sewer based transport</c:v>
                  </c:pt>
                </c:lvl>
              </c:multiLvlStrCache>
            </c:multiLvlStrRef>
          </c:cat>
          <c:val>
            <c:numRef>
              <c:f>'End to end calculation'!$R$4:$R$11</c:f>
              <c:numCache>
                <c:formatCode>0.00</c:formatCode>
                <c:ptCount val="8"/>
                <c:pt idx="0">
                  <c:v>9.6371406249999971</c:v>
                </c:pt>
                <c:pt idx="1">
                  <c:v>58.625499381748476</c:v>
                </c:pt>
                <c:pt idx="2">
                  <c:v>97.174061881748457</c:v>
                </c:pt>
                <c:pt idx="3">
                  <c:v>97.174061881748472</c:v>
                </c:pt>
                <c:pt idx="4">
                  <c:v>109.97711718174848</c:v>
                </c:pt>
                <c:pt idx="5">
                  <c:v>38.548562499999989</c:v>
                </c:pt>
                <c:pt idx="6">
                  <c:v>38.548562499999989</c:v>
                </c:pt>
                <c:pt idx="7">
                  <c:v>140.27155493750001</c:v>
                </c:pt>
              </c:numCache>
            </c:numRef>
          </c:val>
          <c:extLst>
            <c:ext xmlns:c16="http://schemas.microsoft.com/office/drawing/2014/chart" uri="{C3380CC4-5D6E-409C-BE32-E72D297353CC}">
              <c16:uniqueId val="{00000000-D9F5-45AB-AB43-D82F97EBD967}"/>
            </c:ext>
          </c:extLst>
        </c:ser>
        <c:ser>
          <c:idx val="1"/>
          <c:order val="1"/>
          <c:tx>
            <c:strRef>
              <c:f>'End to end calculation'!$S$3</c:f>
              <c:strCache>
                <c:ptCount val="1"/>
                <c:pt idx="0">
                  <c:v>Nitrous Oxide (Direct)</c:v>
                </c:pt>
              </c:strCache>
            </c:strRef>
          </c:tx>
          <c:spPr>
            <a:pattFill prst="dkDnDiag">
              <a:fgClr>
                <a:schemeClr val="bg2">
                  <a:lumMod val="50000"/>
                </a:schemeClr>
              </a:fgClr>
              <a:bgClr>
                <a:schemeClr val="bg1"/>
              </a:bgClr>
            </a:pattFill>
            <a:ln>
              <a:solidFill>
                <a:schemeClr val="bg2">
                  <a:lumMod val="25000"/>
                </a:schemeClr>
              </a:solidFill>
            </a:ln>
            <a:effectLst/>
          </c:spPr>
          <c:invertIfNegative val="0"/>
          <c:cat>
            <c:multiLvlStrRef>
              <c:f>'End to end calculation'!$P$4:$Q$11</c:f>
              <c:multiLvlStrCache>
                <c:ptCount val="8"/>
                <c:lvl>
                  <c:pt idx="0">
                    <c:v>Not safely contained at the household level</c:v>
                  </c:pt>
                  <c:pt idx="1">
                    <c:v>Safely contained and stored at household level </c:v>
                  </c:pt>
                  <c:pt idx="2">
                    <c:v>Collected at household level, dumped untreated</c:v>
                  </c:pt>
                  <c:pt idx="3">
                    <c:v>Collected at household level, delivered to treatment, discharged untreated</c:v>
                  </c:pt>
                  <c:pt idx="4">
                    <c:v>Collected at household level, delivered to treatment, treated and discharged</c:v>
                  </c:pt>
                  <c:pt idx="5">
                    <c:v>Leaking from sewers/ not delivered to treatment</c:v>
                  </c:pt>
                  <c:pt idx="6">
                    <c:v>Delivered to treatment, discharged untreated</c:v>
                  </c:pt>
                  <c:pt idx="7">
                    <c:v>Delivered to treatment, treated and dsicharged</c:v>
                  </c:pt>
                </c:lvl>
                <c:lvl>
                  <c:pt idx="0">
                    <c:v>(a)    Excreta in onsite systems (pit latrines, septic tanks and containers) with road based transport</c:v>
                  </c:pt>
                  <c:pt idx="5">
                    <c:v>(b) Excreta in offsite systems with sewer based transport</c:v>
                  </c:pt>
                </c:lvl>
              </c:multiLvlStrCache>
            </c:multiLvlStrRef>
          </c:cat>
          <c:val>
            <c:numRef>
              <c:f>'End to end calculation'!$S$4:$S$11</c:f>
              <c:numCache>
                <c:formatCode>0.00</c:formatCode>
                <c:ptCount val="8"/>
                <c:pt idx="0">
                  <c:v>4.6491405714285721</c:v>
                </c:pt>
                <c:pt idx="1">
                  <c:v>15.126797026199823</c:v>
                </c:pt>
                <c:pt idx="2">
                  <c:v>33.723359311914116</c:v>
                </c:pt>
                <c:pt idx="3">
                  <c:v>33.723359311914116</c:v>
                </c:pt>
                <c:pt idx="4">
                  <c:v>17.614294412866492</c:v>
                </c:pt>
                <c:pt idx="5">
                  <c:v>18.596562285714288</c:v>
                </c:pt>
                <c:pt idx="6">
                  <c:v>18.596562285714288</c:v>
                </c:pt>
                <c:pt idx="7">
                  <c:v>24.336576869333328</c:v>
                </c:pt>
              </c:numCache>
            </c:numRef>
          </c:val>
          <c:extLst>
            <c:ext xmlns:c16="http://schemas.microsoft.com/office/drawing/2014/chart" uri="{C3380CC4-5D6E-409C-BE32-E72D297353CC}">
              <c16:uniqueId val="{00000007-65CA-4BA4-8D6F-8FC56B88E588}"/>
            </c:ext>
          </c:extLst>
        </c:ser>
        <c:ser>
          <c:idx val="2"/>
          <c:order val="2"/>
          <c:tx>
            <c:strRef>
              <c:f>'End to end calculation'!$T$3</c:f>
              <c:strCache>
                <c:ptCount val="1"/>
                <c:pt idx="0">
                  <c:v>Operational carbon</c:v>
                </c:pt>
              </c:strCache>
            </c:strRef>
          </c:tx>
          <c:spPr>
            <a:solidFill>
              <a:schemeClr val="tx2">
                <a:lumMod val="75000"/>
              </a:schemeClr>
            </a:solidFill>
            <a:ln>
              <a:solidFill>
                <a:schemeClr val="bg2">
                  <a:lumMod val="25000"/>
                </a:schemeClr>
              </a:solidFill>
            </a:ln>
            <a:effectLst/>
          </c:spPr>
          <c:invertIfNegative val="0"/>
          <c:cat>
            <c:multiLvlStrRef>
              <c:f>'End to end calculation'!$P$4:$Q$11</c:f>
              <c:multiLvlStrCache>
                <c:ptCount val="8"/>
                <c:lvl>
                  <c:pt idx="0">
                    <c:v>Not safely contained at the household level</c:v>
                  </c:pt>
                  <c:pt idx="1">
                    <c:v>Safely contained and stored at household level </c:v>
                  </c:pt>
                  <c:pt idx="2">
                    <c:v>Collected at household level, dumped untreated</c:v>
                  </c:pt>
                  <c:pt idx="3">
                    <c:v>Collected at household level, delivered to treatment, discharged untreated</c:v>
                  </c:pt>
                  <c:pt idx="4">
                    <c:v>Collected at household level, delivered to treatment, treated and discharged</c:v>
                  </c:pt>
                  <c:pt idx="5">
                    <c:v>Leaking from sewers/ not delivered to treatment</c:v>
                  </c:pt>
                  <c:pt idx="6">
                    <c:v>Delivered to treatment, discharged untreated</c:v>
                  </c:pt>
                  <c:pt idx="7">
                    <c:v>Delivered to treatment, treated and dsicharged</c:v>
                  </c:pt>
                </c:lvl>
                <c:lvl>
                  <c:pt idx="0">
                    <c:v>(a)    Excreta in onsite systems (pit latrines, septic tanks and containers) with road based transport</c:v>
                  </c:pt>
                  <c:pt idx="5">
                    <c:v>(b) Excreta in offsite systems with sewer based transport</c:v>
                  </c:pt>
                </c:lvl>
              </c:multiLvlStrCache>
            </c:multiLvlStrRef>
          </c:cat>
          <c:val>
            <c:numRef>
              <c:f>'End to end calculation'!$T$4:$T$11</c:f>
              <c:numCache>
                <c:formatCode>0.00</c:formatCode>
                <c:ptCount val="8"/>
                <c:pt idx="0">
                  <c:v>0</c:v>
                </c:pt>
                <c:pt idx="1">
                  <c:v>0</c:v>
                </c:pt>
                <c:pt idx="2">
                  <c:v>0.85134222222222222</c:v>
                </c:pt>
                <c:pt idx="3">
                  <c:v>0.85134222222222222</c:v>
                </c:pt>
                <c:pt idx="4">
                  <c:v>0.85134222222222222</c:v>
                </c:pt>
                <c:pt idx="5">
                  <c:v>8.3328000000000013E-2</c:v>
                </c:pt>
                <c:pt idx="6">
                  <c:v>8.3328000000000013E-2</c:v>
                </c:pt>
                <c:pt idx="7">
                  <c:v>16.24593911111111</c:v>
                </c:pt>
              </c:numCache>
            </c:numRef>
          </c:val>
          <c:extLst>
            <c:ext xmlns:c16="http://schemas.microsoft.com/office/drawing/2014/chart" uri="{C3380CC4-5D6E-409C-BE32-E72D297353CC}">
              <c16:uniqueId val="{00000008-65CA-4BA4-8D6F-8FC56B88E588}"/>
            </c:ext>
          </c:extLst>
        </c:ser>
        <c:ser>
          <c:idx val="3"/>
          <c:order val="3"/>
          <c:tx>
            <c:strRef>
              <c:f>'End to end calculation'!$U$3</c:f>
              <c:strCache>
                <c:ptCount val="1"/>
                <c:pt idx="0">
                  <c:v>Embedded carbon</c:v>
                </c:pt>
              </c:strCache>
            </c:strRef>
          </c:tx>
          <c:spPr>
            <a:solidFill>
              <a:schemeClr val="tx1">
                <a:lumMod val="50000"/>
                <a:lumOff val="50000"/>
              </a:schemeClr>
            </a:solidFill>
            <a:ln>
              <a:solidFill>
                <a:schemeClr val="bg2">
                  <a:lumMod val="25000"/>
                </a:schemeClr>
              </a:solidFill>
            </a:ln>
            <a:effectLst/>
          </c:spPr>
          <c:invertIfNegative val="0"/>
          <c:cat>
            <c:multiLvlStrRef>
              <c:f>'End to end calculation'!$P$4:$Q$11</c:f>
              <c:multiLvlStrCache>
                <c:ptCount val="8"/>
                <c:lvl>
                  <c:pt idx="0">
                    <c:v>Not safely contained at the household level</c:v>
                  </c:pt>
                  <c:pt idx="1">
                    <c:v>Safely contained and stored at household level </c:v>
                  </c:pt>
                  <c:pt idx="2">
                    <c:v>Collected at household level, dumped untreated</c:v>
                  </c:pt>
                  <c:pt idx="3">
                    <c:v>Collected at household level, delivered to treatment, discharged untreated</c:v>
                  </c:pt>
                  <c:pt idx="4">
                    <c:v>Collected at household level, delivered to treatment, treated and discharged</c:v>
                  </c:pt>
                  <c:pt idx="5">
                    <c:v>Leaking from sewers/ not delivered to treatment</c:v>
                  </c:pt>
                  <c:pt idx="6">
                    <c:v>Delivered to treatment, discharged untreated</c:v>
                  </c:pt>
                  <c:pt idx="7">
                    <c:v>Delivered to treatment, treated and dsicharged</c:v>
                  </c:pt>
                </c:lvl>
                <c:lvl>
                  <c:pt idx="0">
                    <c:v>(a)    Excreta in onsite systems (pit latrines, septic tanks and containers) with road based transport</c:v>
                  </c:pt>
                  <c:pt idx="5">
                    <c:v>(b) Excreta in offsite systems with sewer based transport</c:v>
                  </c:pt>
                </c:lvl>
              </c:multiLvlStrCache>
            </c:multiLvlStrRef>
          </c:cat>
          <c:val>
            <c:numRef>
              <c:f>'End to end calculation'!$U$4:$U$11</c:f>
              <c:numCache>
                <c:formatCode>0.00</c:formatCode>
                <c:ptCount val="8"/>
                <c:pt idx="0">
                  <c:v>2.4287735934731933</c:v>
                </c:pt>
                <c:pt idx="1">
                  <c:v>2.4287735934731933</c:v>
                </c:pt>
                <c:pt idx="2">
                  <c:v>2.4287735934731933</c:v>
                </c:pt>
                <c:pt idx="3">
                  <c:v>2.4287735934731933</c:v>
                </c:pt>
                <c:pt idx="4">
                  <c:v>2.547292111991712</c:v>
                </c:pt>
                <c:pt idx="5">
                  <c:v>4.0623420512820516</c:v>
                </c:pt>
                <c:pt idx="6">
                  <c:v>4.0623420512820516</c:v>
                </c:pt>
                <c:pt idx="7">
                  <c:v>4.0779716809116815</c:v>
                </c:pt>
              </c:numCache>
            </c:numRef>
          </c:val>
          <c:extLst>
            <c:ext xmlns:c16="http://schemas.microsoft.com/office/drawing/2014/chart" uri="{C3380CC4-5D6E-409C-BE32-E72D297353CC}">
              <c16:uniqueId val="{00000009-65CA-4BA4-8D6F-8FC56B88E588}"/>
            </c:ext>
          </c:extLst>
        </c:ser>
        <c:dLbls>
          <c:showLegendKey val="0"/>
          <c:showVal val="0"/>
          <c:showCatName val="0"/>
          <c:showSerName val="0"/>
          <c:showPercent val="0"/>
          <c:showBubbleSize val="0"/>
        </c:dLbls>
        <c:gapWidth val="150"/>
        <c:overlap val="100"/>
        <c:axId val="277928128"/>
        <c:axId val="115495960"/>
      </c:barChart>
      <c:catAx>
        <c:axId val="27792812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cap="none" spc="0" normalizeH="0" baseline="0">
                <a:solidFill>
                  <a:schemeClr val="dk1">
                    <a:lumMod val="65000"/>
                    <a:lumOff val="35000"/>
                  </a:schemeClr>
                </a:solidFill>
                <a:latin typeface="+mn-lt"/>
                <a:ea typeface="+mn-ea"/>
                <a:cs typeface="+mn-cs"/>
              </a:defRPr>
            </a:pPr>
            <a:endParaRPr lang="en-US"/>
          </a:p>
        </c:txPr>
        <c:crossAx val="115495960"/>
        <c:crosses val="autoZero"/>
        <c:auto val="1"/>
        <c:lblAlgn val="ctr"/>
        <c:lblOffset val="100"/>
        <c:noMultiLvlLbl val="0"/>
      </c:catAx>
      <c:valAx>
        <c:axId val="11549596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mn-lt"/>
                    <a:ea typeface="+mn-ea"/>
                    <a:cs typeface="+mn-cs"/>
                  </a:defRPr>
                </a:pPr>
                <a:r>
                  <a:rPr lang="en-US" sz="1200"/>
                  <a:t>kg CO2 equivalent</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crossAx val="277928128"/>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Methane</c:v>
          </c:tx>
          <c:spPr>
            <a:solidFill>
              <a:schemeClr val="tx2">
                <a:lumMod val="50000"/>
              </a:schemeClr>
            </a:solidFill>
            <a:ln>
              <a:noFill/>
            </a:ln>
            <a:effectLst/>
          </c:spPr>
          <c:invertIfNegative val="0"/>
          <c:dLbls>
            <c:delete val="1"/>
          </c:dLbls>
          <c:cat>
            <c:multiLvlStrRef>
              <c:f>'Containment MCF EF'!$K$4:$L$19</c:f>
              <c:multiLvlStrCache>
                <c:ptCount val="16"/>
                <c:lvl>
                  <c:pt idx="0">
                    <c:v>Below GWT</c:v>
                  </c:pt>
                  <c:pt idx="1">
                    <c:v>Shared, above GWT</c:v>
                  </c:pt>
                  <c:pt idx="2">
                    <c:v>Individual, above GWT (dry season)</c:v>
                  </c:pt>
                  <c:pt idx="3">
                    <c:v>Shared, not emptied</c:v>
                  </c:pt>
                  <c:pt idx="4">
                    <c:v>Shared, emptied</c:v>
                  </c:pt>
                  <c:pt idx="5">
                    <c:v>Indivudal, not emptied</c:v>
                  </c:pt>
                  <c:pt idx="6">
                    <c:v>Indidual, emptied</c:v>
                  </c:pt>
                  <c:pt idx="8">
                    <c:v>Unlined pit</c:v>
                  </c:pt>
                  <c:pt idx="9">
                    <c:v>Unlined improved pit</c:v>
                  </c:pt>
                  <c:pt idx="10">
                    <c:v>Lined simple pit</c:v>
                  </c:pt>
                  <c:pt idx="11">
                    <c:v>Lined VIP</c:v>
                  </c:pt>
                  <c:pt idx="13">
                    <c:v>To open drains (rainy season)</c:v>
                  </c:pt>
                  <c:pt idx="14">
                    <c:v>To open drains (dry season)</c:v>
                  </c:pt>
                  <c:pt idx="15">
                    <c:v>To open ground</c:v>
                  </c:pt>
                </c:lvl>
                <c:lvl>
                  <c:pt idx="0">
                    <c:v>Unlined Pit</c:v>
                  </c:pt>
                  <c:pt idx="3">
                    <c:v>Lined Pit</c:v>
                  </c:pt>
                  <c:pt idx="7">
                    <c:v>Septic tank</c:v>
                  </c:pt>
                  <c:pt idx="8">
                    <c:v>Flush toilet to pit</c:v>
                  </c:pt>
                  <c:pt idx="12">
                    <c:v>Composting Latrine </c:v>
                  </c:pt>
                  <c:pt idx="13">
                    <c:v>Open Defecation</c:v>
                  </c:pt>
                </c:lvl>
              </c:multiLvlStrCache>
            </c:multiLvlStrRef>
          </c:cat>
          <c:val>
            <c:numRef>
              <c:f>'Containment MCF EF'!$M$4:$M$19</c:f>
              <c:numCache>
                <c:formatCode>0.0</c:formatCode>
                <c:ptCount val="16"/>
                <c:pt idx="0">
                  <c:v>107.93597499999998</c:v>
                </c:pt>
                <c:pt idx="1">
                  <c:v>53.967987499999992</c:v>
                </c:pt>
                <c:pt idx="2">
                  <c:v>38.548562499999989</c:v>
                </c:pt>
                <c:pt idx="3">
                  <c:v>77.097124999999991</c:v>
                </c:pt>
                <c:pt idx="4">
                  <c:v>61.677700000000002</c:v>
                </c:pt>
                <c:pt idx="5">
                  <c:v>61.677699999999987</c:v>
                </c:pt>
                <c:pt idx="6">
                  <c:v>46.25827499999999</c:v>
                </c:pt>
                <c:pt idx="7">
                  <c:v>53.967987499999992</c:v>
                </c:pt>
                <c:pt idx="8">
                  <c:v>61.677700000000002</c:v>
                </c:pt>
                <c:pt idx="9">
                  <c:v>92.516549999999967</c:v>
                </c:pt>
                <c:pt idx="10">
                  <c:v>61.677700000000002</c:v>
                </c:pt>
                <c:pt idx="11">
                  <c:v>92.516549999999967</c:v>
                </c:pt>
                <c:pt idx="12">
                  <c:v>15.419425000000002</c:v>
                </c:pt>
                <c:pt idx="13">
                  <c:v>46.25827499999999</c:v>
                </c:pt>
                <c:pt idx="14">
                  <c:v>30.838849999999994</c:v>
                </c:pt>
                <c:pt idx="15">
                  <c:v>15.419424999999997</c:v>
                </c:pt>
              </c:numCache>
            </c:numRef>
          </c:val>
          <c:extLst>
            <c:ext xmlns:c16="http://schemas.microsoft.com/office/drawing/2014/chart" uri="{C3380CC4-5D6E-409C-BE32-E72D297353CC}">
              <c16:uniqueId val="{00000000-9F17-4E4F-A414-BD0969B3C24B}"/>
            </c:ext>
          </c:extLst>
        </c:ser>
        <c:ser>
          <c:idx val="1"/>
          <c:order val="1"/>
          <c:tx>
            <c:v>Nitrous oxide</c:v>
          </c:tx>
          <c:spPr>
            <a:solidFill>
              <a:schemeClr val="tx2">
                <a:lumMod val="40000"/>
                <a:lumOff val="60000"/>
              </a:schemeClr>
            </a:solidFill>
            <a:ln>
              <a:noFill/>
            </a:ln>
            <a:effectLst/>
          </c:spPr>
          <c:invertIfNegative val="0"/>
          <c:dLbls>
            <c:delete val="1"/>
          </c:dLbls>
          <c:cat>
            <c:multiLvlStrRef>
              <c:f>'Containment MCF EF'!$K$4:$L$19</c:f>
              <c:multiLvlStrCache>
                <c:ptCount val="16"/>
                <c:lvl>
                  <c:pt idx="0">
                    <c:v>Below GWT</c:v>
                  </c:pt>
                  <c:pt idx="1">
                    <c:v>Shared, above GWT</c:v>
                  </c:pt>
                  <c:pt idx="2">
                    <c:v>Individual, above GWT (dry season)</c:v>
                  </c:pt>
                  <c:pt idx="3">
                    <c:v>Shared, not emptied</c:v>
                  </c:pt>
                  <c:pt idx="4">
                    <c:v>Shared, emptied</c:v>
                  </c:pt>
                  <c:pt idx="5">
                    <c:v>Indivudal, not emptied</c:v>
                  </c:pt>
                  <c:pt idx="6">
                    <c:v>Indidual, emptied</c:v>
                  </c:pt>
                  <c:pt idx="8">
                    <c:v>Unlined pit</c:v>
                  </c:pt>
                  <c:pt idx="9">
                    <c:v>Unlined improved pit</c:v>
                  </c:pt>
                  <c:pt idx="10">
                    <c:v>Lined simple pit</c:v>
                  </c:pt>
                  <c:pt idx="11">
                    <c:v>Lined VIP</c:v>
                  </c:pt>
                  <c:pt idx="13">
                    <c:v>To open drains (rainy season)</c:v>
                  </c:pt>
                  <c:pt idx="14">
                    <c:v>To open drains (dry season)</c:v>
                  </c:pt>
                  <c:pt idx="15">
                    <c:v>To open ground</c:v>
                  </c:pt>
                </c:lvl>
                <c:lvl>
                  <c:pt idx="0">
                    <c:v>Unlined Pit</c:v>
                  </c:pt>
                  <c:pt idx="3">
                    <c:v>Lined Pit</c:v>
                  </c:pt>
                  <c:pt idx="7">
                    <c:v>Septic tank</c:v>
                  </c:pt>
                  <c:pt idx="8">
                    <c:v>Flush toilet to pit</c:v>
                  </c:pt>
                  <c:pt idx="12">
                    <c:v>Composting Latrine </c:v>
                  </c:pt>
                  <c:pt idx="13">
                    <c:v>Open Defecation</c:v>
                  </c:pt>
                </c:lvl>
              </c:multiLvlStrCache>
            </c:multiLvlStrRef>
          </c:cat>
          <c:val>
            <c:numRef>
              <c:f>'Containment MCF EF'!$N$4:$N$19</c:f>
              <c:numCache>
                <c:formatCode>0.00</c:formatCode>
                <c:ptCount val="16"/>
                <c:pt idx="0">
                  <c:v>10.939154285714286</c:v>
                </c:pt>
                <c:pt idx="1">
                  <c:v>19.690477714285716</c:v>
                </c:pt>
                <c:pt idx="2">
                  <c:v>14.220900571428574</c:v>
                </c:pt>
                <c:pt idx="3">
                  <c:v>21.878308571428573</c:v>
                </c:pt>
                <c:pt idx="4">
                  <c:v>16.408731428571432</c:v>
                </c:pt>
                <c:pt idx="5">
                  <c:v>21.878308571428573</c:v>
                </c:pt>
                <c:pt idx="6">
                  <c:v>16.408731428571432</c:v>
                </c:pt>
                <c:pt idx="7">
                  <c:v>10.939154285714288</c:v>
                </c:pt>
                <c:pt idx="8">
                  <c:v>13.126985142857146</c:v>
                </c:pt>
                <c:pt idx="9">
                  <c:v>17.50264685714286</c:v>
                </c:pt>
                <c:pt idx="10">
                  <c:v>14.220900571428572</c:v>
                </c:pt>
                <c:pt idx="11">
                  <c:v>19.690477714285713</c:v>
                </c:pt>
                <c:pt idx="12">
                  <c:v>21.878308571428573</c:v>
                </c:pt>
                <c:pt idx="13">
                  <c:v>19.690477714285716</c:v>
                </c:pt>
                <c:pt idx="14">
                  <c:v>17.50264685714286</c:v>
                </c:pt>
                <c:pt idx="15">
                  <c:v>0</c:v>
                </c:pt>
              </c:numCache>
            </c:numRef>
          </c:val>
          <c:extLst>
            <c:ext xmlns:c16="http://schemas.microsoft.com/office/drawing/2014/chart" uri="{C3380CC4-5D6E-409C-BE32-E72D297353CC}">
              <c16:uniqueId val="{00000001-9F17-4E4F-A414-BD0969B3C24B}"/>
            </c:ext>
          </c:extLst>
        </c:ser>
        <c:dLbls>
          <c:dLblPos val="ctr"/>
          <c:showLegendKey val="0"/>
          <c:showVal val="1"/>
          <c:showCatName val="0"/>
          <c:showSerName val="0"/>
          <c:showPercent val="0"/>
          <c:showBubbleSize val="0"/>
        </c:dLbls>
        <c:gapWidth val="50"/>
        <c:overlap val="100"/>
        <c:axId val="696276264"/>
        <c:axId val="696284136"/>
      </c:barChart>
      <c:catAx>
        <c:axId val="69627626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96284136"/>
        <c:crosses val="autoZero"/>
        <c:auto val="1"/>
        <c:lblAlgn val="ctr"/>
        <c:lblOffset val="100"/>
        <c:noMultiLvlLbl val="0"/>
      </c:catAx>
      <c:valAx>
        <c:axId val="696284136"/>
        <c:scaling>
          <c:orientation val="minMax"/>
          <c:max val="120"/>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min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inorGridlines>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GB" sz="1200"/>
                  <a:t>kg CO2 / capita/ year</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96276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203068</xdr:colOff>
      <xdr:row>18</xdr:row>
      <xdr:rowOff>144780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470268" cy="316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48260</xdr:rowOff>
    </xdr:from>
    <xdr:to>
      <xdr:col>16</xdr:col>
      <xdr:colOff>448732</xdr:colOff>
      <xdr:row>42</xdr:row>
      <xdr:rowOff>8467</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592667</xdr:colOff>
      <xdr:row>1</xdr:row>
      <xdr:rowOff>110065</xdr:rowOff>
    </xdr:from>
    <xdr:to>
      <xdr:col>34</xdr:col>
      <xdr:colOff>601133</xdr:colOff>
      <xdr:row>41</xdr:row>
      <xdr:rowOff>135467</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24</xdr:row>
      <xdr:rowOff>0</xdr:rowOff>
    </xdr:from>
    <xdr:to>
      <xdr:col>17</xdr:col>
      <xdr:colOff>567459</xdr:colOff>
      <xdr:row>63</xdr:row>
      <xdr:rowOff>64366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srcRect l="24056" t="14705" r="31115" b="20977"/>
        <a:stretch/>
      </xdr:blipFill>
      <xdr:spPr>
        <a:xfrm>
          <a:off x="4267200" y="4094018"/>
          <a:ext cx="8104332" cy="6548293"/>
        </a:xfrm>
        <a:prstGeom prst="rect">
          <a:avLst/>
        </a:prstGeom>
      </xdr:spPr>
    </xdr:pic>
    <xdr:clientData/>
  </xdr:twoCellAnchor>
  <xdr:twoCellAnchor editAs="oneCell">
    <xdr:from>
      <xdr:col>9</xdr:col>
      <xdr:colOff>476249</xdr:colOff>
      <xdr:row>68</xdr:row>
      <xdr:rowOff>1</xdr:rowOff>
    </xdr:from>
    <xdr:to>
      <xdr:col>19</xdr:col>
      <xdr:colOff>575733</xdr:colOff>
      <xdr:row>110</xdr:row>
      <xdr:rowOff>95251</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l="20747" t="26710" r="60000" b="6357"/>
        <a:stretch/>
      </xdr:blipFill>
      <xdr:spPr>
        <a:xfrm>
          <a:off x="6635749" y="10890251"/>
          <a:ext cx="6953251" cy="6762750"/>
        </a:xfrm>
        <a:prstGeom prst="rect">
          <a:avLst/>
        </a:prstGeom>
      </xdr:spPr>
    </xdr:pic>
    <xdr:clientData/>
  </xdr:twoCellAnchor>
  <xdr:twoCellAnchor editAs="oneCell">
    <xdr:from>
      <xdr:col>10</xdr:col>
      <xdr:colOff>373440</xdr:colOff>
      <xdr:row>111</xdr:row>
      <xdr:rowOff>157238</xdr:rowOff>
    </xdr:from>
    <xdr:to>
      <xdr:col>19</xdr:col>
      <xdr:colOff>409424</xdr:colOff>
      <xdr:row>158</xdr:row>
      <xdr:rowOff>125487</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l="21693" t="21024" r="60917" b="6778"/>
        <a:stretch/>
      </xdr:blipFill>
      <xdr:spPr>
        <a:xfrm>
          <a:off x="7242023" y="17884321"/>
          <a:ext cx="6339418" cy="74294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I1:X177"/>
  <sheetViews>
    <sheetView tabSelected="1" zoomScale="120" zoomScaleNormal="120" workbookViewId="0">
      <selection activeCell="D26" sqref="D26"/>
    </sheetView>
  </sheetViews>
  <sheetFormatPr defaultRowHeight="12.6"/>
  <cols>
    <col min="8" max="8" width="3.5703125" customWidth="1"/>
    <col min="9" max="9" width="2.7109375" customWidth="1"/>
    <col min="10" max="10" width="12.140625" style="4" customWidth="1"/>
    <col min="11" max="11" width="13.140625" style="2" bestFit="1" customWidth="1"/>
    <col min="12" max="12" width="14.28515625" style="3" customWidth="1"/>
    <col min="13" max="13" width="2.7109375" style="3" customWidth="1"/>
    <col min="14" max="14" width="2.7109375" style="74" customWidth="1"/>
    <col min="15" max="15" width="4" customWidth="1"/>
    <col min="16" max="17" width="21" customWidth="1"/>
    <col min="18" max="18" width="12.42578125" style="1" bestFit="1" customWidth="1"/>
    <col min="19" max="19" width="12.42578125" style="1" customWidth="1"/>
    <col min="20" max="20" width="10.42578125" style="1" bestFit="1" customWidth="1"/>
    <col min="21" max="21" width="13.28515625" style="1" customWidth="1"/>
    <col min="22" max="22" width="13.5703125" style="1" customWidth="1"/>
    <col min="23" max="23" width="11.42578125" bestFit="1" customWidth="1"/>
  </cols>
  <sheetData>
    <row r="1" spans="9:24">
      <c r="I1" s="14"/>
      <c r="J1" s="14" t="s">
        <v>0</v>
      </c>
      <c r="K1" s="58" t="s">
        <v>1</v>
      </c>
      <c r="L1" s="59" t="s">
        <v>2</v>
      </c>
      <c r="M1" s="59"/>
      <c r="N1" s="75"/>
      <c r="O1" s="77"/>
      <c r="P1" s="78" t="s">
        <v>3</v>
      </c>
      <c r="Q1" s="78"/>
      <c r="R1" s="79"/>
      <c r="S1" s="79"/>
      <c r="T1" s="79"/>
      <c r="U1" s="79"/>
      <c r="V1" s="79"/>
      <c r="W1" s="80"/>
      <c r="X1" s="80"/>
    </row>
    <row r="2" spans="9:24">
      <c r="I2" s="14"/>
      <c r="J2" s="14" t="s">
        <v>4</v>
      </c>
      <c r="K2" s="57">
        <v>1</v>
      </c>
      <c r="L2" s="16">
        <v>2250000</v>
      </c>
      <c r="M2" s="16"/>
      <c r="N2" s="76"/>
      <c r="O2" s="77"/>
      <c r="P2" s="78" t="s">
        <v>5</v>
      </c>
      <c r="Q2" s="78"/>
      <c r="R2" s="79"/>
      <c r="S2" s="79"/>
      <c r="T2" s="79"/>
      <c r="U2" s="79"/>
      <c r="V2" s="79"/>
      <c r="W2" s="79"/>
      <c r="X2" s="80"/>
    </row>
    <row r="3" spans="9:24">
      <c r="I3" s="14"/>
      <c r="J3" s="14"/>
      <c r="K3" s="57"/>
      <c r="L3" s="16"/>
      <c r="M3" s="16"/>
      <c r="N3" s="76"/>
      <c r="O3" s="77"/>
      <c r="P3" s="82"/>
      <c r="Q3" s="246"/>
      <c r="R3" s="63" t="s">
        <v>6</v>
      </c>
      <c r="S3" s="63" t="s">
        <v>7</v>
      </c>
      <c r="T3" s="62" t="s">
        <v>8</v>
      </c>
      <c r="U3" s="62" t="s">
        <v>9</v>
      </c>
      <c r="V3" s="62" t="s">
        <v>10</v>
      </c>
      <c r="W3" s="79"/>
      <c r="X3" s="80"/>
    </row>
    <row r="4" spans="9:24">
      <c r="I4" s="14"/>
      <c r="J4" s="14"/>
      <c r="K4" s="57"/>
      <c r="L4" s="16"/>
      <c r="M4" s="16"/>
      <c r="N4" s="76"/>
      <c r="O4" s="77"/>
      <c r="P4" s="64" t="s">
        <v>11</v>
      </c>
      <c r="Q4" s="247"/>
      <c r="R4" s="244">
        <f>+'Containment CH4 Direct'!U19</f>
        <v>115648412.11239748</v>
      </c>
      <c r="S4" s="244">
        <f>+'Containment NO2 Direct'!O21</f>
        <v>29840087.928891446</v>
      </c>
      <c r="T4" s="244">
        <v>0</v>
      </c>
      <c r="U4" s="244">
        <f>+'Containment embedded carbon'!K12</f>
        <v>4262497.6565454546</v>
      </c>
      <c r="V4" s="244">
        <f t="shared" ref="V4:V9" si="0">SUM(R4:U4)</f>
        <v>149750997.69783437</v>
      </c>
      <c r="W4" s="79"/>
      <c r="X4" s="80"/>
    </row>
    <row r="5" spans="9:24">
      <c r="I5" s="14"/>
      <c r="J5" s="14" t="s">
        <v>12</v>
      </c>
      <c r="K5" s="256">
        <v>0.08</v>
      </c>
      <c r="L5" s="16">
        <f t="shared" ref="L5:L13" si="1">+$L$2*K5</f>
        <v>180000</v>
      </c>
      <c r="M5" s="16"/>
      <c r="N5" s="76"/>
      <c r="O5" s="77"/>
      <c r="P5" s="66" t="s">
        <v>13</v>
      </c>
      <c r="Q5" s="248"/>
      <c r="R5" s="61">
        <v>0</v>
      </c>
      <c r="S5" s="61"/>
      <c r="T5" s="61">
        <f>+'Transport Operation'!I11</f>
        <v>517190.40000000002</v>
      </c>
      <c r="U5" s="61">
        <v>0</v>
      </c>
      <c r="V5" s="61">
        <f t="shared" si="0"/>
        <v>517190.40000000002</v>
      </c>
      <c r="W5" s="79"/>
      <c r="X5" s="80"/>
    </row>
    <row r="6" spans="9:24">
      <c r="I6" s="14"/>
      <c r="J6" s="14" t="s">
        <v>14</v>
      </c>
      <c r="K6" s="257">
        <v>0.24</v>
      </c>
      <c r="L6" s="16">
        <f t="shared" si="1"/>
        <v>540000</v>
      </c>
      <c r="M6" s="16"/>
      <c r="N6" s="76"/>
      <c r="O6" s="77"/>
      <c r="P6" s="66" t="s">
        <v>15</v>
      </c>
      <c r="Q6" s="248"/>
      <c r="R6" s="61">
        <f>+'WW FS Direct CH4 Lubigi'!M33+'WW FS Direct CH4 Bugo'!M33</f>
        <v>25419050.811000004</v>
      </c>
      <c r="S6" s="61">
        <f>+'WW FS Direct NO2'!O23+'WW FS Direct NO2'!O24+'WW FS Direct NO2'!O25</f>
        <v>1231311.2064</v>
      </c>
      <c r="T6" s="61">
        <v>0</v>
      </c>
      <c r="U6" s="61">
        <f>+'WW FS Embedded carbon'!K11</f>
        <v>58666.666666666664</v>
      </c>
      <c r="V6" s="61">
        <f t="shared" si="0"/>
        <v>26709028.684066672</v>
      </c>
      <c r="W6" s="79"/>
      <c r="X6" s="80"/>
    </row>
    <row r="7" spans="9:24">
      <c r="I7" s="14"/>
      <c r="J7" s="14" t="s">
        <v>16</v>
      </c>
      <c r="K7" s="256">
        <v>0.22</v>
      </c>
      <c r="L7" s="16">
        <f t="shared" si="1"/>
        <v>495000</v>
      </c>
      <c r="M7" s="16"/>
      <c r="N7" s="76"/>
      <c r="O7" s="77"/>
      <c r="P7" s="66" t="s">
        <v>17</v>
      </c>
      <c r="Q7" s="248"/>
      <c r="R7" s="61">
        <v>0</v>
      </c>
      <c r="S7" s="61"/>
      <c r="T7" s="61">
        <f>+'Transport Operation'!D32</f>
        <v>24373.440000000002</v>
      </c>
      <c r="U7" s="61">
        <f>+'Transport embedded carbon'!K8+'Transport embedded carbon'!K16</f>
        <v>1188235.05</v>
      </c>
      <c r="V7" s="61">
        <f t="shared" si="0"/>
        <v>1212608.49</v>
      </c>
      <c r="W7" s="79"/>
      <c r="X7" s="79"/>
    </row>
    <row r="8" spans="9:24">
      <c r="I8" s="14"/>
      <c r="J8" s="14" t="s">
        <v>18</v>
      </c>
      <c r="K8" s="256">
        <v>0.05</v>
      </c>
      <c r="L8" s="16">
        <f t="shared" si="1"/>
        <v>112500</v>
      </c>
      <c r="M8" s="16"/>
      <c r="N8" s="76"/>
      <c r="O8" s="77"/>
      <c r="P8" s="66" t="s">
        <v>19</v>
      </c>
      <c r="Q8" s="248"/>
      <c r="R8" s="61">
        <f>+'WW FS Direct CH4 Lubigi'!M15+'WW FS Direct CH4 Bugo'!M15</f>
        <v>25248879.888750002</v>
      </c>
      <c r="S8" s="61">
        <f>+'WW FS Direct NO2'!O6+'WW FS Direct NO2'!O7+'WW FS Direct NO2'!O8+'WW FS Direct NO2'!O26+'WW FS Direct NO2'!O27+'WW FS Direct NO2'!O28</f>
        <v>4380583.8364799991</v>
      </c>
      <c r="T8" s="61">
        <f>+'WW FS Operation'!D7+'WW FS Operation'!D25</f>
        <v>2909270</v>
      </c>
      <c r="U8" s="61">
        <f>+'WW FS Embedded carbon'!K5</f>
        <v>2813.3333333333335</v>
      </c>
      <c r="V8" s="61">
        <f t="shared" si="0"/>
        <v>32541547.058563333</v>
      </c>
      <c r="W8" s="79"/>
      <c r="X8" s="79"/>
    </row>
    <row r="9" spans="9:24">
      <c r="I9" s="14"/>
      <c r="J9" s="14" t="s">
        <v>20</v>
      </c>
      <c r="K9" s="256">
        <v>0.05</v>
      </c>
      <c r="L9" s="16">
        <f t="shared" si="1"/>
        <v>112500</v>
      </c>
      <c r="M9" s="16"/>
      <c r="N9" s="76"/>
      <c r="O9" s="77"/>
      <c r="P9" s="65" t="s">
        <v>21</v>
      </c>
      <c r="Q9" s="248"/>
      <c r="R9" s="61">
        <f>+'End to end calculation'!E42+'End to end calculation'!G42+'End to end calculation'!I42</f>
        <v>23635087.382812493</v>
      </c>
      <c r="S9" s="61">
        <f>+'End to end calculation'!E43+'End to end calculation'!G43+'End to end calculation'!I43</f>
        <v>11402017.251428572</v>
      </c>
      <c r="T9" s="61">
        <v>0</v>
      </c>
      <c r="U9" s="61">
        <v>0</v>
      </c>
      <c r="V9" s="61">
        <f t="shared" si="0"/>
        <v>35037104.634241067</v>
      </c>
      <c r="W9" s="79"/>
      <c r="X9" s="79"/>
    </row>
    <row r="10" spans="9:24">
      <c r="I10" s="14"/>
      <c r="J10" s="14" t="s">
        <v>22</v>
      </c>
      <c r="K10" s="256">
        <v>0.09</v>
      </c>
      <c r="L10" s="16">
        <f t="shared" si="1"/>
        <v>202500</v>
      </c>
      <c r="M10" s="16"/>
      <c r="N10" s="76"/>
      <c r="O10" s="77"/>
      <c r="P10" s="65" t="s">
        <v>10</v>
      </c>
      <c r="Q10" s="246"/>
      <c r="R10" s="150">
        <f>SUM(R4:R9)</f>
        <v>189951430.19496</v>
      </c>
      <c r="S10" s="150">
        <f t="shared" ref="S10:V10" si="2">SUM(S4:S9)</f>
        <v>46854000.223200023</v>
      </c>
      <c r="T10" s="150">
        <f t="shared" si="2"/>
        <v>3450833.84</v>
      </c>
      <c r="U10" s="150">
        <f t="shared" si="2"/>
        <v>5512212.7065454544</v>
      </c>
      <c r="V10" s="150">
        <f t="shared" si="2"/>
        <v>245768476.96470547</v>
      </c>
      <c r="W10" s="79"/>
      <c r="X10" s="79"/>
    </row>
    <row r="11" spans="9:24">
      <c r="I11" s="14"/>
      <c r="J11" s="14" t="s">
        <v>23</v>
      </c>
      <c r="K11" s="256">
        <v>0.02</v>
      </c>
      <c r="L11" s="16">
        <f t="shared" si="1"/>
        <v>45000</v>
      </c>
      <c r="M11" s="16"/>
      <c r="N11" s="76"/>
      <c r="O11" s="77"/>
      <c r="P11" s="78" t="s">
        <v>3</v>
      </c>
      <c r="Q11" s="78"/>
      <c r="R11" s="79"/>
      <c r="S11" s="79"/>
      <c r="T11" s="79"/>
      <c r="U11" s="79"/>
      <c r="V11" s="79"/>
      <c r="W11" s="80"/>
      <c r="X11" s="79"/>
    </row>
    <row r="12" spans="9:24">
      <c r="I12" s="14"/>
      <c r="J12" s="14" t="s">
        <v>24</v>
      </c>
      <c r="K12" s="256">
        <v>0.25</v>
      </c>
      <c r="L12" s="16">
        <f t="shared" si="1"/>
        <v>562500</v>
      </c>
      <c r="M12" s="16"/>
      <c r="N12" s="76"/>
      <c r="O12" s="77"/>
      <c r="P12" s="78" t="s">
        <v>25</v>
      </c>
      <c r="Q12" s="78"/>
      <c r="R12" s="79"/>
      <c r="S12" s="79"/>
      <c r="T12" s="79"/>
      <c r="U12" s="79"/>
      <c r="V12" s="79"/>
      <c r="W12" s="79"/>
      <c r="X12" s="190"/>
    </row>
    <row r="13" spans="9:24">
      <c r="I13" s="14"/>
      <c r="J13" s="14" t="s">
        <v>26</v>
      </c>
      <c r="K13" s="256">
        <v>0</v>
      </c>
      <c r="L13" s="16">
        <f t="shared" si="1"/>
        <v>0</v>
      </c>
      <c r="M13" s="16"/>
      <c r="N13" s="76"/>
      <c r="O13" s="77"/>
      <c r="P13" s="64"/>
      <c r="Q13" s="245" t="s">
        <v>27</v>
      </c>
      <c r="R13" s="71" t="s">
        <v>6</v>
      </c>
      <c r="S13" s="71" t="s">
        <v>7</v>
      </c>
      <c r="T13" s="70" t="s">
        <v>8</v>
      </c>
      <c r="U13" s="70" t="s">
        <v>9</v>
      </c>
      <c r="V13" s="70" t="s">
        <v>10</v>
      </c>
      <c r="W13" s="79"/>
      <c r="X13" s="80"/>
    </row>
    <row r="14" spans="9:24">
      <c r="I14" s="14"/>
      <c r="J14" s="14" t="s">
        <v>28</v>
      </c>
      <c r="K14" s="69">
        <f>IF(SUM(K5:K13)=1, 1, "Error")</f>
        <v>1</v>
      </c>
      <c r="L14" s="325">
        <f>SUM(L5:L13)</f>
        <v>2250000</v>
      </c>
      <c r="M14" s="15"/>
      <c r="N14" s="17"/>
      <c r="O14" s="77"/>
      <c r="P14" s="64" t="s">
        <v>11</v>
      </c>
      <c r="Q14" s="338">
        <f>+L2*(K6+K7+K9+K11+K12)</f>
        <v>1755000</v>
      </c>
      <c r="R14" s="341">
        <f>+'Containment CH4 Direct'!U20</f>
        <v>58.625499381748476</v>
      </c>
      <c r="S14" s="341">
        <f>+'Containment NO2 Direct'!O22</f>
        <v>15.126797026199823</v>
      </c>
      <c r="T14" s="341">
        <f t="shared" ref="R14:U18" si="3">+T4/$Q14</f>
        <v>0</v>
      </c>
      <c r="U14" s="341">
        <f t="shared" si="3"/>
        <v>2.4287735934731933</v>
      </c>
      <c r="V14" s="341">
        <f t="shared" ref="V14:V19" si="4">SUM(R14:U14)</f>
        <v>76.181070001421489</v>
      </c>
      <c r="W14" s="79"/>
      <c r="X14" s="80"/>
    </row>
    <row r="15" spans="9:24">
      <c r="I15" s="14"/>
      <c r="J15" s="15"/>
      <c r="K15" s="21"/>
      <c r="L15" s="15"/>
      <c r="M15" s="15"/>
      <c r="N15" s="17"/>
      <c r="O15" s="77"/>
      <c r="P15" s="66" t="s">
        <v>13</v>
      </c>
      <c r="Q15" s="339">
        <f>+L7+L9</f>
        <v>607500</v>
      </c>
      <c r="R15" s="342">
        <f t="shared" si="3"/>
        <v>0</v>
      </c>
      <c r="S15" s="342">
        <f t="shared" si="3"/>
        <v>0</v>
      </c>
      <c r="T15" s="342">
        <f t="shared" si="3"/>
        <v>0.85134222222222222</v>
      </c>
      <c r="U15" s="342">
        <f t="shared" si="3"/>
        <v>0</v>
      </c>
      <c r="V15" s="342">
        <f t="shared" si="4"/>
        <v>0.85134222222222222</v>
      </c>
      <c r="W15" s="79"/>
      <c r="X15" s="80"/>
    </row>
    <row r="16" spans="9:24">
      <c r="I16" s="14"/>
      <c r="J16" s="14" t="s">
        <v>29</v>
      </c>
      <c r="K16" s="258">
        <v>3</v>
      </c>
      <c r="L16" s="15" t="s">
        <v>30</v>
      </c>
      <c r="M16" s="15"/>
      <c r="N16" s="17"/>
      <c r="O16" s="77"/>
      <c r="P16" s="66" t="s">
        <v>15</v>
      </c>
      <c r="Q16" s="339">
        <f>+L7</f>
        <v>495000</v>
      </c>
      <c r="R16" s="342">
        <f t="shared" si="3"/>
        <v>51.351617800000007</v>
      </c>
      <c r="S16" s="342">
        <f t="shared" si="3"/>
        <v>2.4874973866666665</v>
      </c>
      <c r="T16" s="342">
        <f t="shared" si="3"/>
        <v>0</v>
      </c>
      <c r="U16" s="342">
        <f t="shared" si="3"/>
        <v>0.11851851851851851</v>
      </c>
      <c r="V16" s="342">
        <f t="shared" si="4"/>
        <v>53.957633705185195</v>
      </c>
      <c r="W16" s="79"/>
      <c r="X16" s="80"/>
    </row>
    <row r="17" spans="9:24">
      <c r="I17" s="14"/>
      <c r="J17" s="15"/>
      <c r="K17" s="15"/>
      <c r="L17" s="15"/>
      <c r="M17" s="15"/>
      <c r="N17" s="17"/>
      <c r="O17" s="77"/>
      <c r="P17" s="66" t="s">
        <v>17</v>
      </c>
      <c r="Q17" s="339">
        <f>+L5+L8</f>
        <v>292500</v>
      </c>
      <c r="R17" s="342">
        <f t="shared" si="3"/>
        <v>0</v>
      </c>
      <c r="S17" s="342">
        <f t="shared" si="3"/>
        <v>0</v>
      </c>
      <c r="T17" s="342">
        <f t="shared" si="3"/>
        <v>8.3328000000000013E-2</v>
      </c>
      <c r="U17" s="342">
        <f t="shared" si="3"/>
        <v>4.0623420512820516</v>
      </c>
      <c r="V17" s="342">
        <f t="shared" si="4"/>
        <v>4.1456700512820515</v>
      </c>
      <c r="W17" s="79"/>
      <c r="X17" s="80"/>
    </row>
    <row r="18" spans="9:24" ht="12.75" customHeight="1">
      <c r="I18" s="14"/>
      <c r="J18" s="376" t="s">
        <v>31</v>
      </c>
      <c r="K18" s="15"/>
      <c r="L18" s="15"/>
      <c r="M18" s="15"/>
      <c r="N18" s="17"/>
      <c r="O18" s="77"/>
      <c r="P18" s="66" t="s">
        <v>19</v>
      </c>
      <c r="Q18" s="339">
        <f>'WW FS Direct CH4'!D1</f>
        <v>180000</v>
      </c>
      <c r="R18" s="342">
        <f t="shared" si="3"/>
        <v>140.27155493750001</v>
      </c>
      <c r="S18" s="342">
        <f t="shared" si="3"/>
        <v>24.336576869333328</v>
      </c>
      <c r="T18" s="342">
        <f t="shared" si="3"/>
        <v>16.162611111111111</v>
      </c>
      <c r="U18" s="342">
        <f t="shared" si="3"/>
        <v>1.5629629629629632E-2</v>
      </c>
      <c r="V18" s="342">
        <f t="shared" si="4"/>
        <v>180.7863725475741</v>
      </c>
      <c r="W18" s="79"/>
      <c r="X18" s="80"/>
    </row>
    <row r="19" spans="9:24">
      <c r="I19" s="14"/>
      <c r="J19" s="376"/>
      <c r="K19" s="15"/>
      <c r="L19" s="15"/>
      <c r="M19" s="15"/>
      <c r="N19" s="17"/>
      <c r="O19" s="81"/>
      <c r="P19" s="65" t="s">
        <v>21</v>
      </c>
      <c r="Q19" s="340">
        <f>+(K8+K9+K10+K11+K12)*L2</f>
        <v>1034999.9999999999</v>
      </c>
      <c r="R19" s="343">
        <f>+R9/$Q19</f>
        <v>22.83583322010869</v>
      </c>
      <c r="S19" s="343">
        <f t="shared" ref="S19:U19" si="5">+S9/$Q19</f>
        <v>11.016441788819877</v>
      </c>
      <c r="T19" s="343">
        <f t="shared" si="5"/>
        <v>0</v>
      </c>
      <c r="U19" s="343">
        <f t="shared" si="5"/>
        <v>0</v>
      </c>
      <c r="V19" s="343">
        <f t="shared" si="4"/>
        <v>33.852275008928565</v>
      </c>
      <c r="W19" s="79"/>
      <c r="X19" s="80"/>
    </row>
    <row r="20" spans="9:24">
      <c r="I20" s="14"/>
      <c r="J20" s="376"/>
      <c r="K20" s="256">
        <v>0.25</v>
      </c>
      <c r="L20" s="15"/>
      <c r="M20" s="15"/>
      <c r="N20" s="17"/>
      <c r="O20" s="81"/>
      <c r="P20" s="81"/>
      <c r="Q20" s="81"/>
      <c r="R20" s="83"/>
      <c r="S20" s="83"/>
      <c r="T20" s="83"/>
      <c r="U20" s="83"/>
      <c r="V20" s="83"/>
      <c r="W20" s="81"/>
      <c r="X20" s="80"/>
    </row>
    <row r="21" spans="9:24">
      <c r="I21" s="14"/>
      <c r="J21" s="376"/>
      <c r="K21" s="57"/>
      <c r="L21" s="16"/>
      <c r="M21" s="16"/>
      <c r="N21" s="76"/>
      <c r="O21" s="81"/>
      <c r="P21" s="81"/>
      <c r="Q21" s="82"/>
      <c r="R21" s="45" t="str">
        <f>+R13</f>
        <v>Direct CH4</v>
      </c>
      <c r="S21" s="45" t="str">
        <f>+S13</f>
        <v>Direct NO2</v>
      </c>
      <c r="T21" s="45" t="str">
        <f>+T13</f>
        <v>Operation CO2</v>
      </c>
      <c r="U21" s="45" t="str">
        <f>+U13</f>
        <v>Embedded carbon</v>
      </c>
      <c r="V21" s="45" t="s">
        <v>10</v>
      </c>
      <c r="W21" s="81"/>
      <c r="X21" s="80"/>
    </row>
    <row r="22" spans="9:24">
      <c r="I22" s="14"/>
      <c r="J22" s="376"/>
      <c r="K22" s="57"/>
      <c r="L22" s="16"/>
      <c r="M22" s="16"/>
      <c r="N22" s="76"/>
      <c r="O22" s="81"/>
      <c r="P22" s="81"/>
      <c r="Q22" s="66" t="str">
        <f>+'End to end calculation'!B2</f>
        <v>WW treated</v>
      </c>
      <c r="R22" s="67">
        <f>+'End to end calculation'!J2</f>
        <v>25248879.888750002</v>
      </c>
      <c r="S22" s="67">
        <f>+'End to end calculation'!J3</f>
        <v>4380583.8364799991</v>
      </c>
      <c r="T22" s="67">
        <f>+'End to end calculation'!J4</f>
        <v>2924269.04</v>
      </c>
      <c r="U22" s="67">
        <f>+'End to end calculation'!J5</f>
        <v>734034.90256410267</v>
      </c>
      <c r="V22" s="231">
        <f>SUM(R22:U22)</f>
        <v>33287767.667794101</v>
      </c>
      <c r="W22" s="190"/>
      <c r="X22" s="80"/>
    </row>
    <row r="23" spans="9:24">
      <c r="I23" s="14"/>
      <c r="J23" s="15"/>
      <c r="K23" s="57"/>
      <c r="L23" s="16"/>
      <c r="M23" s="16"/>
      <c r="N23" s="76"/>
      <c r="O23" s="81"/>
      <c r="P23" s="81"/>
      <c r="Q23" s="66" t="str">
        <f>+'End to end calculation'!B7</f>
        <v>WW not treated</v>
      </c>
      <c r="R23" s="67">
        <f>+'End to end calculation'!J7</f>
        <v>4336713.2812499991</v>
      </c>
      <c r="S23" s="67">
        <f>+'End to end calculation'!J8</f>
        <v>2092113.2571428574</v>
      </c>
      <c r="T23" s="67">
        <f>+'End to end calculation'!J9</f>
        <v>9374.4000000000015</v>
      </c>
      <c r="U23" s="67">
        <f>+'End to end calculation'!J10</f>
        <v>457013.48076923081</v>
      </c>
      <c r="V23" s="231">
        <f t="shared" ref="V23:V30" si="6">SUM(R23:U23)</f>
        <v>6895214.4191620881</v>
      </c>
      <c r="W23" s="190"/>
      <c r="X23" s="80"/>
    </row>
    <row r="24" spans="9:24">
      <c r="I24" s="14"/>
      <c r="J24" s="14" t="s">
        <v>32</v>
      </c>
      <c r="K24" s="57"/>
      <c r="L24" s="16"/>
      <c r="M24" s="16"/>
      <c r="N24" s="76"/>
      <c r="O24" s="81"/>
      <c r="P24" s="81"/>
      <c r="Q24" s="66" t="str">
        <f>+'End to end calculation'!B12</f>
        <v>WW not delivered</v>
      </c>
      <c r="R24" s="67">
        <f>+'End to end calculation'!J12</f>
        <v>7806083.9062499981</v>
      </c>
      <c r="S24" s="67">
        <f>+'End to end calculation'!J13</f>
        <v>3765803.8628571434</v>
      </c>
      <c r="T24" s="67">
        <f>+'End to end calculation'!J14</f>
        <v>16873.920000000002</v>
      </c>
      <c r="U24" s="67">
        <f>+'End to end calculation'!J15</f>
        <v>822624.2653846154</v>
      </c>
      <c r="V24" s="231">
        <f t="shared" si="6"/>
        <v>12411385.954491757</v>
      </c>
      <c r="W24" s="190"/>
      <c r="X24" s="80"/>
    </row>
    <row r="25" spans="9:24">
      <c r="I25" s="14"/>
      <c r="J25" s="15"/>
      <c r="K25" s="57"/>
      <c r="L25" s="16"/>
      <c r="M25" s="16"/>
      <c r="N25" s="76"/>
      <c r="O25" s="77"/>
      <c r="P25" s="81"/>
      <c r="Q25" s="66" t="str">
        <f>+'End to end calculation'!B17</f>
        <v>FS Contained, not emptied</v>
      </c>
      <c r="R25" s="67">
        <f>+'End to end calculation'!J17</f>
        <v>31657769.666144177</v>
      </c>
      <c r="S25" s="67">
        <f>+'End to end calculation'!J18</f>
        <v>8168470.3941479046</v>
      </c>
      <c r="T25" s="67">
        <f>+'End to end calculation'!J19</f>
        <v>0</v>
      </c>
      <c r="U25" s="67">
        <f>+'End to end calculation'!J20</f>
        <v>1311537.7404755244</v>
      </c>
      <c r="V25" s="231">
        <f t="shared" si="6"/>
        <v>41137777.800767608</v>
      </c>
      <c r="W25" s="190"/>
      <c r="X25" s="80"/>
    </row>
    <row r="26" spans="9:24" ht="13.5">
      <c r="I26" s="14"/>
      <c r="J26" s="14" t="s">
        <v>33</v>
      </c>
      <c r="K26" s="258">
        <v>34</v>
      </c>
      <c r="L26" s="16"/>
      <c r="M26" s="16"/>
      <c r="N26" s="76"/>
      <c r="O26" s="77"/>
      <c r="P26" s="81"/>
      <c r="Q26" s="66" t="str">
        <f>+'End to end calculation'!B22</f>
        <v>FS contained/ not contained, transported and treated</v>
      </c>
      <c r="R26" s="67">
        <f>+'End to end calculation'!J22</f>
        <v>54438673.004965499</v>
      </c>
      <c r="S26" s="67">
        <f>+'End to end calculation'!J23</f>
        <v>8719075.7343689129</v>
      </c>
      <c r="T26" s="67">
        <f>+'End to end calculation'!J24</f>
        <v>421414.40000000002</v>
      </c>
      <c r="U26" s="67">
        <f>+'End to end calculation'!J25</f>
        <v>1260909.5954358974</v>
      </c>
      <c r="V26" s="231">
        <f t="shared" si="6"/>
        <v>64840072.734770305</v>
      </c>
      <c r="W26" s="190"/>
      <c r="X26" s="81"/>
    </row>
    <row r="27" spans="9:24" ht="13.5">
      <c r="I27" s="14"/>
      <c r="J27" s="14" t="s">
        <v>34</v>
      </c>
      <c r="K27" s="324">
        <v>298</v>
      </c>
      <c r="L27" s="243"/>
      <c r="M27" s="16"/>
      <c r="N27" s="76"/>
      <c r="O27" s="77"/>
      <c r="P27" s="81"/>
      <c r="Q27" s="66" t="str">
        <f>+'End to end calculation'!B27</f>
        <v>FS Not treated</v>
      </c>
      <c r="R27" s="67">
        <f>+'End to end calculation'!J27</f>
        <v>10932081.961696703</v>
      </c>
      <c r="S27" s="67">
        <f>+'End to end calculation'!J28</f>
        <v>3793877.9225903377</v>
      </c>
      <c r="T27" s="67">
        <f>+'End to end calculation'!J29</f>
        <v>95776</v>
      </c>
      <c r="U27" s="67">
        <f>+'End to end calculation'!J30</f>
        <v>273237.02926573425</v>
      </c>
      <c r="V27" s="231">
        <f t="shared" si="6"/>
        <v>15094972.913552774</v>
      </c>
      <c r="W27" s="190"/>
      <c r="X27" s="81"/>
    </row>
    <row r="28" spans="9:24">
      <c r="I28" s="14"/>
      <c r="J28" s="15"/>
      <c r="K28" s="259"/>
      <c r="L28" s="16"/>
      <c r="M28" s="16"/>
      <c r="N28" s="76"/>
      <c r="O28" s="77"/>
      <c r="P28" s="81"/>
      <c r="Q28" s="66" t="str">
        <f>+'End to end calculation'!B32</f>
        <v>FS emptied not delivered</v>
      </c>
      <c r="R28" s="67">
        <f>+'End to end calculation'!J32</f>
        <v>4372832.7846786808</v>
      </c>
      <c r="S28" s="67">
        <f>+'End to end calculation'!J33</f>
        <v>1517551.1690361351</v>
      </c>
      <c r="T28" s="67">
        <f>+'End to end calculation'!J34</f>
        <v>38310.400000000001</v>
      </c>
      <c r="U28" s="67">
        <f>+'End to end calculation'!J35</f>
        <v>109294.81170629369</v>
      </c>
      <c r="V28" s="231">
        <f t="shared" si="6"/>
        <v>6037989.1654211096</v>
      </c>
      <c r="W28" s="190"/>
      <c r="X28" s="81"/>
    </row>
    <row r="29" spans="9:24">
      <c r="I29" s="14"/>
      <c r="J29" s="14" t="s">
        <v>35</v>
      </c>
      <c r="K29" s="260">
        <v>0.108</v>
      </c>
      <c r="L29" s="28" t="s">
        <v>36</v>
      </c>
      <c r="M29" s="16"/>
      <c r="N29" s="76"/>
      <c r="O29" s="77"/>
      <c r="P29" s="81"/>
      <c r="Q29" s="66" t="str">
        <f>+'End to end calculation'!B37</f>
        <v>FS Not contained</v>
      </c>
      <c r="R29" s="67">
        <f>+'End to end calculation'!J37</f>
        <v>5420891.6015624981</v>
      </c>
      <c r="S29" s="67">
        <f>+'End to end calculation'!J38</f>
        <v>2615141.5714285718</v>
      </c>
      <c r="T29" s="67">
        <f>+'End to end calculation'!J39</f>
        <v>0</v>
      </c>
      <c r="U29" s="67">
        <f>+'End to end calculation'!J40</f>
        <v>1366185.1463286711</v>
      </c>
      <c r="V29" s="231">
        <f t="shared" si="6"/>
        <v>9402218.3193197418</v>
      </c>
      <c r="W29" s="190"/>
      <c r="X29" s="81"/>
    </row>
    <row r="30" spans="9:24">
      <c r="I30" s="14"/>
      <c r="J30" s="14" t="s">
        <v>37</v>
      </c>
      <c r="K30" s="260">
        <v>0.2</v>
      </c>
      <c r="L30" s="28" t="s">
        <v>36</v>
      </c>
      <c r="M30" s="16"/>
      <c r="N30" s="76"/>
      <c r="O30" s="77"/>
      <c r="P30" s="78"/>
      <c r="Q30" s="82"/>
      <c r="R30" s="68">
        <f>SUM(R22:R29)</f>
        <v>144213926.09529755</v>
      </c>
      <c r="S30" s="68">
        <f>SUM(S22:S29)</f>
        <v>35052617.748051867</v>
      </c>
      <c r="T30" s="68">
        <f>SUM(T22:T29)</f>
        <v>3506018.1599999997</v>
      </c>
      <c r="U30" s="68">
        <f>SUM(U22:U29)</f>
        <v>6334836.9719300689</v>
      </c>
      <c r="V30" s="149">
        <f t="shared" si="6"/>
        <v>189107398.97527945</v>
      </c>
      <c r="W30" s="355">
        <f>+V30/L2</f>
        <v>84.047732877901979</v>
      </c>
      <c r="X30" s="81"/>
    </row>
    <row r="31" spans="9:24">
      <c r="I31" s="14"/>
      <c r="J31" s="14" t="s">
        <v>38</v>
      </c>
      <c r="K31" s="260">
        <v>0.06</v>
      </c>
      <c r="L31" s="28" t="s">
        <v>36</v>
      </c>
      <c r="M31" s="16"/>
      <c r="N31" s="76"/>
      <c r="O31" s="77"/>
      <c r="P31" s="78"/>
      <c r="Q31" s="78"/>
      <c r="R31" s="323"/>
      <c r="S31" s="323"/>
      <c r="T31" s="323"/>
      <c r="U31" s="323"/>
      <c r="V31" s="323"/>
      <c r="W31" s="78"/>
      <c r="X31" s="81"/>
    </row>
    <row r="32" spans="9:24">
      <c r="I32" s="14"/>
      <c r="J32" s="14" t="s">
        <v>39</v>
      </c>
      <c r="K32" s="260">
        <v>1.48</v>
      </c>
      <c r="L32" s="28" t="s">
        <v>36</v>
      </c>
      <c r="M32" s="16"/>
      <c r="N32" s="76"/>
      <c r="R32"/>
      <c r="S32"/>
      <c r="T32"/>
      <c r="U32"/>
      <c r="V32"/>
    </row>
    <row r="33" spans="9:22">
      <c r="I33" s="14"/>
      <c r="J33" s="15"/>
      <c r="K33" s="57"/>
      <c r="L33" s="16"/>
      <c r="M33" s="16"/>
      <c r="N33" s="76"/>
      <c r="R33"/>
      <c r="S33"/>
      <c r="T33"/>
      <c r="U33"/>
      <c r="V33"/>
    </row>
    <row r="34" spans="9:22">
      <c r="I34" s="14"/>
      <c r="J34" s="15"/>
      <c r="K34" s="57"/>
      <c r="L34" s="16"/>
      <c r="M34" s="16"/>
      <c r="N34" s="76"/>
      <c r="R34"/>
      <c r="S34"/>
      <c r="T34"/>
      <c r="U34"/>
      <c r="V34"/>
    </row>
    <row r="35" spans="9:22">
      <c r="I35" s="14"/>
      <c r="J35" s="15"/>
      <c r="K35" s="57"/>
      <c r="L35" s="16"/>
      <c r="M35" s="16"/>
      <c r="N35" s="76"/>
      <c r="R35"/>
      <c r="S35"/>
      <c r="T35"/>
      <c r="U35"/>
      <c r="V35"/>
    </row>
    <row r="36" spans="9:22">
      <c r="I36" s="14"/>
      <c r="J36" s="15"/>
      <c r="K36" s="57"/>
      <c r="L36" s="16"/>
      <c r="M36" s="16"/>
      <c r="N36" s="76"/>
      <c r="R36"/>
      <c r="S36"/>
      <c r="T36"/>
      <c r="U36"/>
      <c r="V36"/>
    </row>
    <row r="37" spans="9:22">
      <c r="I37" s="14"/>
      <c r="K37" s="14"/>
      <c r="R37"/>
      <c r="S37"/>
      <c r="T37"/>
      <c r="U37"/>
      <c r="V37"/>
    </row>
    <row r="38" spans="9:22">
      <c r="I38" s="14"/>
      <c r="K38" s="14"/>
      <c r="R38"/>
      <c r="S38"/>
      <c r="T38"/>
      <c r="U38"/>
      <c r="V38"/>
    </row>
    <row r="39" spans="9:22">
      <c r="I39" s="14"/>
      <c r="K39" s="14"/>
      <c r="R39"/>
      <c r="S39"/>
      <c r="T39"/>
      <c r="U39"/>
      <c r="V39"/>
    </row>
    <row r="40" spans="9:22">
      <c r="I40" s="14"/>
      <c r="K40" s="14"/>
      <c r="R40"/>
      <c r="S40"/>
      <c r="T40"/>
      <c r="U40"/>
      <c r="V40"/>
    </row>
    <row r="41" spans="9:22">
      <c r="I41" s="14"/>
      <c r="K41" s="14"/>
      <c r="R41"/>
      <c r="S41"/>
      <c r="T41"/>
      <c r="U41"/>
      <c r="V41"/>
    </row>
    <row r="42" spans="9:22">
      <c r="I42" s="14"/>
      <c r="K42" s="14"/>
      <c r="R42"/>
      <c r="S42"/>
      <c r="T42"/>
      <c r="U42"/>
      <c r="V42"/>
    </row>
    <row r="43" spans="9:22">
      <c r="I43" s="14"/>
      <c r="K43" s="14"/>
      <c r="R43"/>
      <c r="S43"/>
      <c r="T43"/>
      <c r="U43"/>
      <c r="V43"/>
    </row>
    <row r="44" spans="9:22">
      <c r="J44"/>
      <c r="K44" s="73"/>
      <c r="L44" s="74"/>
      <c r="M44" s="74"/>
      <c r="O44" s="233"/>
      <c r="P44" s="18"/>
      <c r="Q44" s="18"/>
      <c r="R44" s="232"/>
      <c r="S44" s="232"/>
      <c r="T44" s="232"/>
      <c r="U44" s="232"/>
      <c r="V44" s="232"/>
    </row>
    <row r="45" spans="9:22">
      <c r="J45"/>
      <c r="K45" s="73"/>
      <c r="L45" s="74"/>
      <c r="M45" s="74"/>
      <c r="R45"/>
      <c r="S45"/>
      <c r="T45"/>
      <c r="U45"/>
      <c r="V45"/>
    </row>
    <row r="46" spans="9:22">
      <c r="J46"/>
      <c r="K46" s="73"/>
      <c r="L46" s="74"/>
      <c r="M46" s="74"/>
      <c r="R46"/>
      <c r="S46"/>
      <c r="T46"/>
      <c r="U46"/>
      <c r="V46"/>
    </row>
    <row r="47" spans="9:22">
      <c r="J47"/>
      <c r="K47" s="73"/>
      <c r="L47" s="74"/>
      <c r="M47" s="74"/>
      <c r="R47" s="232"/>
      <c r="S47" s="232"/>
      <c r="T47" s="232"/>
      <c r="U47" s="232"/>
      <c r="V47" s="232"/>
    </row>
    <row r="48" spans="9:22">
      <c r="J48"/>
      <c r="K48" s="73"/>
      <c r="L48" s="74"/>
      <c r="M48" s="74"/>
      <c r="R48" s="232"/>
      <c r="S48" s="232"/>
      <c r="T48" s="232"/>
      <c r="U48" s="232"/>
      <c r="V48" s="232"/>
    </row>
    <row r="49" spans="11:22" customFormat="1">
      <c r="K49" s="73"/>
      <c r="L49" s="74"/>
      <c r="M49" s="74"/>
      <c r="N49" s="74"/>
      <c r="R49" s="74"/>
      <c r="S49" s="74"/>
      <c r="T49" s="74"/>
      <c r="U49" s="74"/>
      <c r="V49" s="74"/>
    </row>
    <row r="50" spans="11:22" customFormat="1">
      <c r="K50" s="73"/>
      <c r="L50" s="74"/>
      <c r="M50" s="74"/>
      <c r="N50" s="74"/>
      <c r="R50" s="74"/>
      <c r="S50" s="74"/>
      <c r="T50" s="74"/>
      <c r="U50" s="74"/>
      <c r="V50" s="74"/>
    </row>
    <row r="51" spans="11:22" customFormat="1">
      <c r="K51" s="73"/>
      <c r="L51" s="74"/>
      <c r="M51" s="74"/>
      <c r="N51" s="74"/>
      <c r="R51" s="74"/>
      <c r="S51" s="74"/>
      <c r="T51" s="74"/>
      <c r="U51" s="74"/>
      <c r="V51" s="74"/>
    </row>
    <row r="52" spans="11:22" customFormat="1">
      <c r="K52" s="73"/>
      <c r="L52" s="74"/>
      <c r="M52" s="74"/>
      <c r="N52" s="74"/>
      <c r="R52" s="74"/>
      <c r="S52" s="74"/>
      <c r="T52" s="74"/>
      <c r="U52" s="74"/>
      <c r="V52" s="74"/>
    </row>
    <row r="53" spans="11:22" customFormat="1">
      <c r="K53" s="73"/>
      <c r="L53" s="74"/>
      <c r="M53" s="74"/>
      <c r="N53" s="74"/>
      <c r="R53" s="74"/>
      <c r="S53" s="74"/>
      <c r="T53" s="74"/>
      <c r="U53" s="74"/>
      <c r="V53" s="74"/>
    </row>
    <row r="54" spans="11:22" customFormat="1">
      <c r="K54" s="73"/>
      <c r="L54" s="74"/>
      <c r="M54" s="74"/>
      <c r="N54" s="74"/>
      <c r="R54" s="74"/>
      <c r="S54" s="74"/>
      <c r="T54" s="74"/>
      <c r="U54" s="74"/>
      <c r="V54" s="74"/>
    </row>
    <row r="55" spans="11:22" customFormat="1">
      <c r="K55" s="73"/>
      <c r="L55" s="74"/>
      <c r="M55" s="74"/>
      <c r="N55" s="74"/>
      <c r="R55" s="74"/>
      <c r="S55" s="74"/>
      <c r="T55" s="74"/>
      <c r="U55" s="74"/>
      <c r="V55" s="74"/>
    </row>
    <row r="56" spans="11:22" customFormat="1">
      <c r="K56" s="73"/>
      <c r="L56" s="74"/>
      <c r="M56" s="74"/>
      <c r="N56" s="74"/>
      <c r="R56" s="74"/>
      <c r="S56" s="74"/>
      <c r="T56" s="74"/>
      <c r="U56" s="74"/>
      <c r="V56" s="74"/>
    </row>
    <row r="57" spans="11:22" customFormat="1">
      <c r="K57" s="73"/>
      <c r="L57" s="74"/>
      <c r="M57" s="74"/>
      <c r="N57" s="74"/>
      <c r="R57" s="74"/>
      <c r="S57" s="74"/>
      <c r="T57" s="74"/>
      <c r="U57" s="74"/>
      <c r="V57" s="74"/>
    </row>
    <row r="58" spans="11:22" customFormat="1">
      <c r="K58" s="73"/>
      <c r="L58" s="74"/>
      <c r="M58" s="74"/>
      <c r="N58" s="74"/>
      <c r="R58" s="74"/>
      <c r="S58" s="74"/>
      <c r="T58" s="74"/>
      <c r="U58" s="74"/>
      <c r="V58" s="74"/>
    </row>
    <row r="59" spans="11:22" customFormat="1">
      <c r="K59" s="73"/>
      <c r="L59" s="74"/>
      <c r="M59" s="74"/>
      <c r="N59" s="74"/>
      <c r="R59" s="74"/>
      <c r="S59" s="74"/>
      <c r="T59" s="74"/>
      <c r="U59" s="74"/>
      <c r="V59" s="74"/>
    </row>
    <row r="60" spans="11:22" customFormat="1">
      <c r="K60" s="73"/>
      <c r="L60" s="74"/>
      <c r="M60" s="74"/>
      <c r="N60" s="74"/>
      <c r="R60" s="74"/>
      <c r="S60" s="74"/>
      <c r="T60" s="74"/>
      <c r="U60" s="74"/>
      <c r="V60" s="74"/>
    </row>
    <row r="61" spans="11:22" customFormat="1">
      <c r="K61" s="73"/>
      <c r="L61" s="74"/>
      <c r="M61" s="74"/>
      <c r="N61" s="74"/>
      <c r="R61" s="74"/>
      <c r="S61" s="74"/>
      <c r="T61" s="74"/>
      <c r="U61" s="74"/>
      <c r="V61" s="74"/>
    </row>
    <row r="62" spans="11:22" customFormat="1">
      <c r="K62" s="73"/>
      <c r="L62" s="74"/>
      <c r="M62" s="74"/>
      <c r="N62" s="74"/>
      <c r="R62" s="74"/>
      <c r="S62" s="74"/>
      <c r="T62" s="74"/>
      <c r="U62" s="74"/>
      <c r="V62" s="74"/>
    </row>
    <row r="63" spans="11:22" customFormat="1">
      <c r="K63" s="73"/>
      <c r="L63" s="74"/>
      <c r="M63" s="74"/>
      <c r="N63" s="74"/>
      <c r="R63" s="74"/>
      <c r="S63" s="74"/>
      <c r="T63" s="74"/>
      <c r="U63" s="74"/>
      <c r="V63" s="74"/>
    </row>
    <row r="64" spans="11:22" customFormat="1">
      <c r="K64" s="73"/>
      <c r="L64" s="74"/>
      <c r="M64" s="74"/>
      <c r="N64" s="74"/>
      <c r="R64" s="74"/>
      <c r="S64" s="74"/>
      <c r="T64" s="74"/>
      <c r="U64" s="74"/>
      <c r="V64" s="74"/>
    </row>
    <row r="65" spans="11:22" customFormat="1">
      <c r="K65" s="73"/>
      <c r="L65" s="74"/>
      <c r="M65" s="74"/>
      <c r="N65" s="74"/>
      <c r="R65" s="74"/>
      <c r="S65" s="74"/>
      <c r="T65" s="74"/>
      <c r="U65" s="74"/>
      <c r="V65" s="74"/>
    </row>
    <row r="66" spans="11:22" customFormat="1">
      <c r="K66" s="73"/>
      <c r="L66" s="74"/>
      <c r="M66" s="74"/>
      <c r="N66" s="74"/>
      <c r="R66" s="74"/>
      <c r="S66" s="74"/>
      <c r="T66" s="74"/>
      <c r="U66" s="74"/>
      <c r="V66" s="74"/>
    </row>
    <row r="67" spans="11:22" customFormat="1">
      <c r="K67" s="73"/>
      <c r="L67" s="74"/>
      <c r="M67" s="74"/>
      <c r="N67" s="74"/>
      <c r="R67" s="74"/>
      <c r="S67" s="74"/>
      <c r="T67" s="74"/>
      <c r="U67" s="74"/>
      <c r="V67" s="74"/>
    </row>
    <row r="68" spans="11:22" customFormat="1">
      <c r="K68" s="73"/>
      <c r="L68" s="74"/>
      <c r="M68" s="74"/>
      <c r="N68" s="74"/>
      <c r="R68" s="74"/>
      <c r="S68" s="74"/>
      <c r="T68" s="74"/>
      <c r="U68" s="74"/>
      <c r="V68" s="74"/>
    </row>
    <row r="69" spans="11:22" customFormat="1">
      <c r="K69" s="73"/>
      <c r="L69" s="74"/>
      <c r="M69" s="74"/>
      <c r="N69" s="74"/>
      <c r="R69" s="74"/>
      <c r="S69" s="74"/>
      <c r="T69" s="74"/>
      <c r="U69" s="74"/>
      <c r="V69" s="74"/>
    </row>
    <row r="70" spans="11:22" customFormat="1">
      <c r="K70" s="73"/>
      <c r="L70" s="74"/>
      <c r="M70" s="74"/>
      <c r="N70" s="74"/>
      <c r="R70" s="74"/>
      <c r="S70" s="74"/>
      <c r="T70" s="74"/>
      <c r="U70" s="74"/>
      <c r="V70" s="74"/>
    </row>
    <row r="71" spans="11:22" customFormat="1">
      <c r="K71" s="73"/>
      <c r="L71" s="74"/>
      <c r="M71" s="74"/>
      <c r="N71" s="74"/>
      <c r="R71" s="74"/>
      <c r="S71" s="74"/>
      <c r="T71" s="74"/>
      <c r="U71" s="74"/>
      <c r="V71" s="74"/>
    </row>
    <row r="72" spans="11:22" customFormat="1">
      <c r="K72" s="73"/>
      <c r="L72" s="74"/>
      <c r="M72" s="74"/>
      <c r="N72" s="74"/>
      <c r="R72" s="74"/>
      <c r="S72" s="74"/>
      <c r="T72" s="74"/>
      <c r="U72" s="74"/>
      <c r="V72" s="74"/>
    </row>
    <row r="73" spans="11:22" customFormat="1">
      <c r="K73" s="73"/>
      <c r="L73" s="74"/>
      <c r="M73" s="74"/>
      <c r="N73" s="74"/>
      <c r="R73" s="74"/>
      <c r="S73" s="74"/>
      <c r="T73" s="74"/>
      <c r="U73" s="74"/>
      <c r="V73" s="74"/>
    </row>
    <row r="74" spans="11:22" customFormat="1">
      <c r="K74" s="73"/>
      <c r="L74" s="74"/>
      <c r="M74" s="74"/>
      <c r="N74" s="74"/>
      <c r="R74" s="74"/>
      <c r="S74" s="74"/>
      <c r="T74" s="74"/>
      <c r="U74" s="74"/>
      <c r="V74" s="74"/>
    </row>
    <row r="75" spans="11:22" customFormat="1">
      <c r="K75" s="73"/>
      <c r="L75" s="74"/>
      <c r="M75" s="74"/>
      <c r="N75" s="74"/>
      <c r="R75" s="74"/>
      <c r="S75" s="74"/>
      <c r="T75" s="74"/>
      <c r="U75" s="74"/>
      <c r="V75" s="74"/>
    </row>
    <row r="76" spans="11:22" customFormat="1">
      <c r="K76" s="73"/>
      <c r="L76" s="74"/>
      <c r="M76" s="74"/>
      <c r="N76" s="74"/>
      <c r="R76" s="74"/>
      <c r="S76" s="74"/>
      <c r="T76" s="74"/>
      <c r="U76" s="74"/>
      <c r="V76" s="74"/>
    </row>
    <row r="77" spans="11:22" customFormat="1">
      <c r="K77" s="73"/>
      <c r="L77" s="74"/>
      <c r="M77" s="74"/>
      <c r="N77" s="74"/>
      <c r="R77" s="74"/>
      <c r="S77" s="74"/>
      <c r="T77" s="74"/>
      <c r="U77" s="74"/>
      <c r="V77" s="74"/>
    </row>
    <row r="78" spans="11:22" customFormat="1">
      <c r="K78" s="73"/>
      <c r="L78" s="74"/>
      <c r="M78" s="74"/>
      <c r="N78" s="74"/>
      <c r="R78" s="74"/>
      <c r="S78" s="74"/>
      <c r="T78" s="74"/>
      <c r="U78" s="74"/>
      <c r="V78" s="74"/>
    </row>
    <row r="79" spans="11:22" customFormat="1">
      <c r="K79" s="73"/>
      <c r="L79" s="74"/>
      <c r="M79" s="74"/>
      <c r="N79" s="74"/>
      <c r="R79" s="74"/>
      <c r="S79" s="74"/>
      <c r="T79" s="74"/>
      <c r="U79" s="74"/>
      <c r="V79" s="74"/>
    </row>
    <row r="80" spans="11:22" customFormat="1">
      <c r="K80" s="73"/>
      <c r="L80" s="74"/>
      <c r="M80" s="74"/>
      <c r="N80" s="74"/>
      <c r="R80" s="74"/>
      <c r="S80" s="74"/>
      <c r="T80" s="74"/>
      <c r="U80" s="74"/>
      <c r="V80" s="74"/>
    </row>
    <row r="81" spans="11:22" customFormat="1">
      <c r="K81" s="73"/>
      <c r="L81" s="74"/>
      <c r="M81" s="74"/>
      <c r="N81" s="74"/>
      <c r="R81" s="74"/>
      <c r="S81" s="74"/>
      <c r="T81" s="74"/>
      <c r="U81" s="74"/>
      <c r="V81" s="74"/>
    </row>
    <row r="82" spans="11:22" customFormat="1">
      <c r="K82" s="73"/>
      <c r="L82" s="74"/>
      <c r="M82" s="74"/>
      <c r="N82" s="74"/>
      <c r="R82" s="74"/>
      <c r="S82" s="74"/>
      <c r="T82" s="74"/>
      <c r="U82" s="74"/>
      <c r="V82" s="74"/>
    </row>
    <row r="83" spans="11:22" customFormat="1">
      <c r="K83" s="73"/>
      <c r="L83" s="74"/>
      <c r="M83" s="74"/>
      <c r="N83" s="74"/>
      <c r="R83" s="74"/>
      <c r="S83" s="74"/>
      <c r="T83" s="74"/>
      <c r="U83" s="74"/>
      <c r="V83" s="74"/>
    </row>
    <row r="84" spans="11:22" customFormat="1">
      <c r="K84" s="73"/>
      <c r="L84" s="74"/>
      <c r="M84" s="74"/>
      <c r="N84" s="74"/>
      <c r="R84" s="74"/>
      <c r="S84" s="74"/>
      <c r="T84" s="74"/>
      <c r="U84" s="74"/>
      <c r="V84" s="74"/>
    </row>
    <row r="85" spans="11:22" customFormat="1">
      <c r="K85" s="73"/>
      <c r="L85" s="74"/>
      <c r="M85" s="74"/>
      <c r="N85" s="74"/>
      <c r="R85" s="74"/>
      <c r="S85" s="74"/>
      <c r="T85" s="74"/>
      <c r="U85" s="74"/>
      <c r="V85" s="74"/>
    </row>
    <row r="86" spans="11:22" customFormat="1">
      <c r="K86" s="73"/>
      <c r="L86" s="74"/>
      <c r="M86" s="74"/>
      <c r="N86" s="74"/>
      <c r="R86" s="74"/>
      <c r="S86" s="74"/>
      <c r="T86" s="74"/>
      <c r="U86" s="74"/>
      <c r="V86" s="74"/>
    </row>
    <row r="87" spans="11:22" customFormat="1">
      <c r="K87" s="73"/>
      <c r="L87" s="74"/>
      <c r="M87" s="74"/>
      <c r="N87" s="74"/>
      <c r="R87" s="74"/>
      <c r="S87" s="74"/>
      <c r="T87" s="74"/>
      <c r="U87" s="74"/>
      <c r="V87" s="74"/>
    </row>
    <row r="88" spans="11:22" customFormat="1">
      <c r="K88" s="73"/>
      <c r="L88" s="74"/>
      <c r="M88" s="74"/>
      <c r="N88" s="74"/>
      <c r="R88" s="74"/>
      <c r="S88" s="74"/>
      <c r="T88" s="74"/>
      <c r="U88" s="74"/>
      <c r="V88" s="74"/>
    </row>
    <row r="89" spans="11:22" customFormat="1">
      <c r="K89" s="73"/>
      <c r="L89" s="74"/>
      <c r="M89" s="74"/>
      <c r="N89" s="74"/>
      <c r="R89" s="74"/>
      <c r="S89" s="74"/>
      <c r="T89" s="74"/>
      <c r="U89" s="74"/>
      <c r="V89" s="74"/>
    </row>
    <row r="90" spans="11:22" customFormat="1">
      <c r="K90" s="73"/>
      <c r="L90" s="74"/>
      <c r="M90" s="74"/>
      <c r="N90" s="74"/>
      <c r="R90" s="74"/>
      <c r="S90" s="74"/>
      <c r="T90" s="74"/>
      <c r="U90" s="74"/>
      <c r="V90" s="74"/>
    </row>
    <row r="91" spans="11:22" customFormat="1">
      <c r="K91" s="73"/>
      <c r="L91" s="74"/>
      <c r="M91" s="74"/>
      <c r="N91" s="74"/>
      <c r="R91" s="74"/>
      <c r="S91" s="74"/>
      <c r="T91" s="74"/>
      <c r="U91" s="74"/>
      <c r="V91" s="74"/>
    </row>
    <row r="92" spans="11:22" customFormat="1">
      <c r="K92" s="73"/>
      <c r="L92" s="74"/>
      <c r="M92" s="74"/>
      <c r="N92" s="74"/>
      <c r="R92" s="74"/>
      <c r="S92" s="74"/>
      <c r="T92" s="74"/>
      <c r="U92" s="74"/>
      <c r="V92" s="74"/>
    </row>
    <row r="93" spans="11:22" customFormat="1">
      <c r="K93" s="73"/>
      <c r="L93" s="74"/>
      <c r="M93" s="74"/>
      <c r="N93" s="74"/>
      <c r="R93" s="74"/>
      <c r="S93" s="74"/>
      <c r="T93" s="74"/>
      <c r="U93" s="74"/>
      <c r="V93" s="74"/>
    </row>
    <row r="94" spans="11:22" customFormat="1">
      <c r="K94" s="73"/>
      <c r="L94" s="74"/>
      <c r="M94" s="74"/>
      <c r="N94" s="74"/>
      <c r="R94" s="74"/>
      <c r="S94" s="74"/>
      <c r="T94" s="74"/>
      <c r="U94" s="74"/>
      <c r="V94" s="74"/>
    </row>
    <row r="95" spans="11:22" customFormat="1">
      <c r="K95" s="73"/>
      <c r="L95" s="74"/>
      <c r="M95" s="74"/>
      <c r="N95" s="74"/>
      <c r="R95" s="74"/>
      <c r="S95" s="74"/>
      <c r="T95" s="74"/>
      <c r="U95" s="74"/>
      <c r="V95" s="74"/>
    </row>
    <row r="96" spans="11:22" customFormat="1">
      <c r="K96" s="73"/>
      <c r="L96" s="74"/>
      <c r="M96" s="74"/>
      <c r="N96" s="74"/>
      <c r="R96" s="74"/>
      <c r="S96" s="74"/>
      <c r="T96" s="74"/>
      <c r="U96" s="74"/>
      <c r="V96" s="74"/>
    </row>
    <row r="97" spans="11:22" customFormat="1">
      <c r="K97" s="73"/>
      <c r="L97" s="74"/>
      <c r="M97" s="74"/>
      <c r="N97" s="74"/>
      <c r="R97" s="74"/>
      <c r="S97" s="74"/>
      <c r="T97" s="74"/>
      <c r="U97" s="74"/>
      <c r="V97" s="74"/>
    </row>
    <row r="98" spans="11:22" customFormat="1">
      <c r="K98" s="73"/>
      <c r="L98" s="74"/>
      <c r="M98" s="74"/>
      <c r="N98" s="74"/>
      <c r="R98" s="74"/>
      <c r="S98" s="74"/>
      <c r="T98" s="74"/>
      <c r="U98" s="74"/>
      <c r="V98" s="74"/>
    </row>
    <row r="99" spans="11:22" customFormat="1">
      <c r="K99" s="73"/>
      <c r="L99" s="74"/>
      <c r="M99" s="74"/>
      <c r="N99" s="74"/>
      <c r="R99" s="74"/>
      <c r="S99" s="74"/>
      <c r="T99" s="74"/>
      <c r="U99" s="74"/>
      <c r="V99" s="74"/>
    </row>
    <row r="100" spans="11:22" customFormat="1">
      <c r="K100" s="73"/>
      <c r="L100" s="74"/>
      <c r="M100" s="74"/>
      <c r="N100" s="74"/>
      <c r="R100" s="74"/>
      <c r="S100" s="74"/>
      <c r="T100" s="74"/>
      <c r="U100" s="74"/>
      <c r="V100" s="74"/>
    </row>
    <row r="101" spans="11:22" customFormat="1">
      <c r="K101" s="73"/>
      <c r="L101" s="74"/>
      <c r="M101" s="74"/>
      <c r="N101" s="74"/>
      <c r="R101" s="74"/>
      <c r="S101" s="74"/>
      <c r="T101" s="74"/>
      <c r="U101" s="74"/>
      <c r="V101" s="74"/>
    </row>
    <row r="102" spans="11:22" customFormat="1">
      <c r="K102" s="73"/>
      <c r="L102" s="74"/>
      <c r="M102" s="74"/>
      <c r="N102" s="74"/>
      <c r="R102" s="74"/>
      <c r="S102" s="74"/>
      <c r="T102" s="74"/>
      <c r="U102" s="74"/>
      <c r="V102" s="74"/>
    </row>
    <row r="103" spans="11:22" customFormat="1">
      <c r="K103" s="73"/>
      <c r="L103" s="74"/>
      <c r="M103" s="74"/>
      <c r="N103" s="74"/>
      <c r="R103" s="74"/>
      <c r="S103" s="74"/>
      <c r="T103" s="74"/>
      <c r="U103" s="74"/>
      <c r="V103" s="74"/>
    </row>
    <row r="104" spans="11:22" customFormat="1">
      <c r="K104" s="73"/>
      <c r="L104" s="74"/>
      <c r="M104" s="74"/>
      <c r="N104" s="74"/>
      <c r="R104" s="74"/>
      <c r="S104" s="74"/>
      <c r="T104" s="74"/>
      <c r="U104" s="74"/>
      <c r="V104" s="74"/>
    </row>
    <row r="105" spans="11:22" customFormat="1">
      <c r="K105" s="73"/>
      <c r="L105" s="74"/>
      <c r="M105" s="74"/>
      <c r="N105" s="74"/>
      <c r="R105" s="74"/>
      <c r="S105" s="74"/>
      <c r="T105" s="74"/>
      <c r="U105" s="74"/>
      <c r="V105" s="74"/>
    </row>
    <row r="106" spans="11:22" customFormat="1">
      <c r="K106" s="73"/>
      <c r="L106" s="74"/>
      <c r="M106" s="74"/>
      <c r="N106" s="74"/>
      <c r="R106" s="74"/>
      <c r="S106" s="74"/>
      <c r="T106" s="74"/>
      <c r="U106" s="74"/>
      <c r="V106" s="74"/>
    </row>
    <row r="107" spans="11:22" customFormat="1">
      <c r="K107" s="73"/>
      <c r="L107" s="74"/>
      <c r="M107" s="74"/>
      <c r="N107" s="74"/>
      <c r="R107" s="74"/>
      <c r="S107" s="74"/>
      <c r="T107" s="74"/>
      <c r="U107" s="74"/>
      <c r="V107" s="74"/>
    </row>
    <row r="108" spans="11:22" customFormat="1">
      <c r="K108" s="73"/>
      <c r="L108" s="74"/>
      <c r="M108" s="74"/>
      <c r="N108" s="74"/>
      <c r="R108" s="74"/>
      <c r="S108" s="74"/>
      <c r="T108" s="74"/>
      <c r="U108" s="74"/>
      <c r="V108" s="74"/>
    </row>
    <row r="109" spans="11:22" customFormat="1">
      <c r="K109" s="73"/>
      <c r="L109" s="74"/>
      <c r="M109" s="74"/>
      <c r="N109" s="74"/>
      <c r="R109" s="74"/>
      <c r="S109" s="74"/>
      <c r="T109" s="74"/>
      <c r="U109" s="74"/>
      <c r="V109" s="74"/>
    </row>
    <row r="110" spans="11:22" customFormat="1">
      <c r="K110" s="73"/>
      <c r="L110" s="74"/>
      <c r="M110" s="74"/>
      <c r="N110" s="74"/>
      <c r="R110" s="74"/>
      <c r="S110" s="74"/>
      <c r="T110" s="74"/>
      <c r="U110" s="74"/>
      <c r="V110" s="74"/>
    </row>
    <row r="111" spans="11:22" customFormat="1">
      <c r="K111" s="73"/>
      <c r="L111" s="74"/>
      <c r="M111" s="74"/>
      <c r="N111" s="74"/>
      <c r="R111" s="74"/>
      <c r="S111" s="74"/>
      <c r="T111" s="74"/>
      <c r="U111" s="74"/>
      <c r="V111" s="74"/>
    </row>
    <row r="112" spans="11:22" customFormat="1">
      <c r="K112" s="73"/>
      <c r="L112" s="74"/>
      <c r="M112" s="74"/>
      <c r="N112" s="74"/>
      <c r="R112" s="74"/>
      <c r="S112" s="74"/>
      <c r="T112" s="74"/>
      <c r="U112" s="74"/>
      <c r="V112" s="74"/>
    </row>
    <row r="113" spans="11:22" customFormat="1">
      <c r="K113" s="73"/>
      <c r="L113" s="74"/>
      <c r="M113" s="74"/>
      <c r="N113" s="74"/>
      <c r="R113" s="74"/>
      <c r="S113" s="74"/>
      <c r="T113" s="74"/>
      <c r="U113" s="74"/>
      <c r="V113" s="74"/>
    </row>
    <row r="114" spans="11:22" customFormat="1">
      <c r="K114" s="73"/>
      <c r="L114" s="74"/>
      <c r="M114" s="74"/>
      <c r="N114" s="74"/>
      <c r="R114" s="74"/>
      <c r="S114" s="74"/>
      <c r="T114" s="74"/>
      <c r="U114" s="74"/>
      <c r="V114" s="74"/>
    </row>
    <row r="115" spans="11:22" customFormat="1">
      <c r="K115" s="73"/>
      <c r="L115" s="74"/>
      <c r="M115" s="74"/>
      <c r="N115" s="74"/>
      <c r="R115" s="74"/>
      <c r="S115" s="74"/>
      <c r="T115" s="74"/>
      <c r="U115" s="74"/>
      <c r="V115" s="74"/>
    </row>
    <row r="116" spans="11:22" customFormat="1">
      <c r="K116" s="73"/>
      <c r="L116" s="74"/>
      <c r="M116" s="74"/>
      <c r="N116" s="74"/>
      <c r="R116" s="74"/>
      <c r="S116" s="74"/>
      <c r="T116" s="74"/>
      <c r="U116" s="74"/>
      <c r="V116" s="74"/>
    </row>
    <row r="117" spans="11:22" customFormat="1">
      <c r="K117" s="73"/>
      <c r="L117" s="74"/>
      <c r="M117" s="74"/>
      <c r="N117" s="74"/>
      <c r="R117" s="74"/>
      <c r="S117" s="74"/>
      <c r="T117" s="74"/>
      <c r="U117" s="74"/>
      <c r="V117" s="74"/>
    </row>
    <row r="118" spans="11:22" customFormat="1">
      <c r="K118" s="73"/>
      <c r="L118" s="74"/>
      <c r="M118" s="74"/>
      <c r="N118" s="74"/>
      <c r="R118" s="74"/>
      <c r="S118" s="74"/>
      <c r="T118" s="74"/>
      <c r="U118" s="74"/>
      <c r="V118" s="74"/>
    </row>
    <row r="119" spans="11:22" customFormat="1">
      <c r="K119" s="73"/>
      <c r="L119" s="74"/>
      <c r="M119" s="74"/>
      <c r="N119" s="74"/>
      <c r="R119" s="74"/>
      <c r="S119" s="74"/>
      <c r="T119" s="74"/>
      <c r="U119" s="74"/>
      <c r="V119" s="74"/>
    </row>
    <row r="120" spans="11:22" customFormat="1">
      <c r="K120" s="73"/>
      <c r="L120" s="74"/>
      <c r="M120" s="74"/>
      <c r="N120" s="74"/>
      <c r="R120" s="74"/>
      <c r="S120" s="74"/>
      <c r="T120" s="74"/>
      <c r="U120" s="74"/>
      <c r="V120" s="74"/>
    </row>
    <row r="121" spans="11:22" customFormat="1">
      <c r="K121" s="73"/>
      <c r="L121" s="74"/>
      <c r="M121" s="74"/>
      <c r="N121" s="74"/>
      <c r="R121" s="74"/>
      <c r="S121" s="74"/>
      <c r="T121" s="74"/>
      <c r="U121" s="74"/>
      <c r="V121" s="74"/>
    </row>
    <row r="122" spans="11:22" customFormat="1">
      <c r="K122" s="73"/>
      <c r="L122" s="74"/>
      <c r="M122" s="74"/>
      <c r="N122" s="74"/>
      <c r="R122" s="74"/>
      <c r="S122" s="74"/>
      <c r="T122" s="74"/>
      <c r="U122" s="74"/>
      <c r="V122" s="74"/>
    </row>
    <row r="123" spans="11:22" customFormat="1">
      <c r="K123" s="73"/>
      <c r="L123" s="74"/>
      <c r="M123" s="74"/>
      <c r="N123" s="74"/>
      <c r="R123" s="74"/>
      <c r="S123" s="74"/>
      <c r="T123" s="74"/>
      <c r="U123" s="74"/>
      <c r="V123" s="74"/>
    </row>
    <row r="124" spans="11:22" customFormat="1">
      <c r="K124" s="73"/>
      <c r="L124" s="74"/>
      <c r="M124" s="74"/>
      <c r="N124" s="74"/>
      <c r="R124" s="74"/>
      <c r="S124" s="74"/>
      <c r="T124" s="74"/>
      <c r="U124" s="74"/>
      <c r="V124" s="74"/>
    </row>
    <row r="125" spans="11:22" customFormat="1">
      <c r="K125" s="73"/>
      <c r="L125" s="74"/>
      <c r="M125" s="74"/>
      <c r="N125" s="74"/>
      <c r="R125" s="74"/>
      <c r="S125" s="74"/>
      <c r="T125" s="74"/>
      <c r="U125" s="74"/>
      <c r="V125" s="74"/>
    </row>
    <row r="126" spans="11:22" customFormat="1">
      <c r="K126" s="73"/>
      <c r="L126" s="74"/>
      <c r="M126" s="74"/>
      <c r="N126" s="74"/>
      <c r="R126" s="74"/>
      <c r="S126" s="74"/>
      <c r="T126" s="74"/>
      <c r="U126" s="74"/>
      <c r="V126" s="74"/>
    </row>
    <row r="127" spans="11:22" customFormat="1">
      <c r="K127" s="73"/>
      <c r="L127" s="74"/>
      <c r="M127" s="74"/>
      <c r="N127" s="74"/>
      <c r="R127" s="74"/>
      <c r="S127" s="74"/>
      <c r="T127" s="74"/>
      <c r="U127" s="74"/>
      <c r="V127" s="74"/>
    </row>
    <row r="128" spans="11:22" customFormat="1">
      <c r="K128" s="73"/>
      <c r="L128" s="74"/>
      <c r="M128" s="74"/>
      <c r="N128" s="74"/>
      <c r="R128" s="74"/>
      <c r="S128" s="74"/>
      <c r="T128" s="74"/>
      <c r="U128" s="74"/>
      <c r="V128" s="74"/>
    </row>
    <row r="129" spans="11:22" customFormat="1">
      <c r="K129" s="73"/>
      <c r="L129" s="74"/>
      <c r="M129" s="74"/>
      <c r="N129" s="74"/>
      <c r="R129" s="74"/>
      <c r="S129" s="74"/>
      <c r="T129" s="74"/>
      <c r="U129" s="74"/>
      <c r="V129" s="74"/>
    </row>
    <row r="130" spans="11:22" customFormat="1">
      <c r="K130" s="73"/>
      <c r="L130" s="74"/>
      <c r="M130" s="74"/>
      <c r="N130" s="74"/>
      <c r="R130" s="74"/>
      <c r="S130" s="74"/>
      <c r="T130" s="74"/>
      <c r="U130" s="74"/>
      <c r="V130" s="74"/>
    </row>
    <row r="131" spans="11:22" customFormat="1">
      <c r="K131" s="73"/>
      <c r="L131" s="74"/>
      <c r="M131" s="74"/>
      <c r="N131" s="74"/>
      <c r="R131" s="74"/>
      <c r="S131" s="74"/>
      <c r="T131" s="74"/>
      <c r="U131" s="74"/>
      <c r="V131" s="74"/>
    </row>
    <row r="132" spans="11:22" customFormat="1">
      <c r="K132" s="73"/>
      <c r="L132" s="74"/>
      <c r="M132" s="74"/>
      <c r="N132" s="74"/>
      <c r="R132" s="74"/>
      <c r="S132" s="74"/>
      <c r="T132" s="74"/>
      <c r="U132" s="74"/>
      <c r="V132" s="74"/>
    </row>
    <row r="133" spans="11:22" customFormat="1">
      <c r="K133" s="73"/>
      <c r="L133" s="74"/>
      <c r="M133" s="74"/>
      <c r="N133" s="74"/>
      <c r="R133" s="74"/>
      <c r="S133" s="74"/>
      <c r="T133" s="74"/>
      <c r="U133" s="74"/>
      <c r="V133" s="74"/>
    </row>
    <row r="134" spans="11:22" customFormat="1">
      <c r="K134" s="73"/>
      <c r="L134" s="74"/>
      <c r="M134" s="74"/>
      <c r="N134" s="74"/>
      <c r="R134" s="74"/>
      <c r="S134" s="74"/>
      <c r="T134" s="74"/>
      <c r="U134" s="74"/>
      <c r="V134" s="74"/>
    </row>
    <row r="135" spans="11:22" customFormat="1">
      <c r="K135" s="73"/>
      <c r="L135" s="74"/>
      <c r="M135" s="74"/>
      <c r="N135" s="74"/>
      <c r="R135" s="74"/>
      <c r="S135" s="74"/>
      <c r="T135" s="74"/>
      <c r="U135" s="74"/>
      <c r="V135" s="74"/>
    </row>
    <row r="136" spans="11:22" customFormat="1">
      <c r="K136" s="73"/>
      <c r="L136" s="74"/>
      <c r="M136" s="74"/>
      <c r="N136" s="74"/>
      <c r="R136" s="74"/>
      <c r="S136" s="74"/>
      <c r="T136" s="74"/>
      <c r="U136" s="74"/>
      <c r="V136" s="74"/>
    </row>
    <row r="137" spans="11:22" customFormat="1">
      <c r="K137" s="73"/>
      <c r="L137" s="74"/>
      <c r="M137" s="74"/>
      <c r="N137" s="74"/>
      <c r="R137" s="74"/>
      <c r="S137" s="74"/>
      <c r="T137" s="74"/>
      <c r="U137" s="74"/>
      <c r="V137" s="74"/>
    </row>
    <row r="138" spans="11:22" customFormat="1">
      <c r="K138" s="73"/>
      <c r="L138" s="74"/>
      <c r="M138" s="74"/>
      <c r="N138" s="74"/>
      <c r="R138" s="74"/>
      <c r="S138" s="74"/>
      <c r="T138" s="74"/>
      <c r="U138" s="74"/>
      <c r="V138" s="74"/>
    </row>
    <row r="139" spans="11:22" customFormat="1">
      <c r="K139" s="73"/>
      <c r="L139" s="74"/>
      <c r="M139" s="74"/>
      <c r="N139" s="74"/>
      <c r="R139" s="74"/>
      <c r="S139" s="74"/>
      <c r="T139" s="74"/>
      <c r="U139" s="74"/>
      <c r="V139" s="74"/>
    </row>
    <row r="140" spans="11:22" customFormat="1">
      <c r="K140" s="73"/>
      <c r="L140" s="74"/>
      <c r="M140" s="74"/>
      <c r="N140" s="74"/>
      <c r="R140" s="74"/>
      <c r="S140" s="74"/>
      <c r="T140" s="74"/>
      <c r="U140" s="74"/>
      <c r="V140" s="74"/>
    </row>
    <row r="141" spans="11:22" customFormat="1">
      <c r="K141" s="73"/>
      <c r="L141" s="74"/>
      <c r="M141" s="74"/>
      <c r="N141" s="74"/>
      <c r="R141" s="74"/>
      <c r="S141" s="74"/>
      <c r="T141" s="74"/>
      <c r="U141" s="74"/>
      <c r="V141" s="74"/>
    </row>
    <row r="142" spans="11:22" customFormat="1">
      <c r="K142" s="73"/>
      <c r="L142" s="74"/>
      <c r="M142" s="74"/>
      <c r="N142" s="74"/>
      <c r="R142" s="74"/>
      <c r="S142" s="74"/>
      <c r="T142" s="74"/>
      <c r="U142" s="74"/>
      <c r="V142" s="74"/>
    </row>
    <row r="143" spans="11:22" customFormat="1">
      <c r="K143" s="73"/>
      <c r="L143" s="74"/>
      <c r="M143" s="74"/>
      <c r="N143" s="74"/>
      <c r="R143" s="74"/>
      <c r="S143" s="74"/>
      <c r="T143" s="74"/>
      <c r="U143" s="74"/>
      <c r="V143" s="74"/>
    </row>
    <row r="144" spans="11:22" customFormat="1">
      <c r="K144" s="73"/>
      <c r="L144" s="74"/>
      <c r="M144" s="74"/>
      <c r="N144" s="74"/>
      <c r="R144" s="74"/>
      <c r="S144" s="74"/>
      <c r="T144" s="74"/>
      <c r="U144" s="74"/>
      <c r="V144" s="74"/>
    </row>
    <row r="145" spans="11:22" customFormat="1">
      <c r="K145" s="73"/>
      <c r="L145" s="74"/>
      <c r="M145" s="74"/>
      <c r="N145" s="74"/>
      <c r="R145" s="74"/>
      <c r="S145" s="74"/>
      <c r="T145" s="74"/>
      <c r="U145" s="74"/>
      <c r="V145" s="74"/>
    </row>
    <row r="146" spans="11:22" customFormat="1">
      <c r="K146" s="73"/>
      <c r="L146" s="74"/>
      <c r="M146" s="74"/>
      <c r="N146" s="74"/>
      <c r="R146" s="74"/>
      <c r="S146" s="74"/>
      <c r="T146" s="74"/>
      <c r="U146" s="74"/>
      <c r="V146" s="74"/>
    </row>
    <row r="147" spans="11:22" customFormat="1">
      <c r="K147" s="73"/>
      <c r="L147" s="74"/>
      <c r="M147" s="74"/>
      <c r="N147" s="74"/>
      <c r="R147" s="74"/>
      <c r="S147" s="74"/>
      <c r="T147" s="74"/>
      <c r="U147" s="74"/>
      <c r="V147" s="74"/>
    </row>
    <row r="148" spans="11:22" customFormat="1">
      <c r="K148" s="73"/>
      <c r="L148" s="74"/>
      <c r="M148" s="74"/>
      <c r="N148" s="74"/>
      <c r="R148" s="74"/>
      <c r="S148" s="74"/>
      <c r="T148" s="74"/>
      <c r="U148" s="74"/>
      <c r="V148" s="74"/>
    </row>
    <row r="149" spans="11:22" customFormat="1">
      <c r="K149" s="73"/>
      <c r="L149" s="74"/>
      <c r="M149" s="74"/>
      <c r="N149" s="74"/>
      <c r="R149" s="74"/>
      <c r="S149" s="74"/>
      <c r="T149" s="74"/>
      <c r="U149" s="74"/>
      <c r="V149" s="74"/>
    </row>
    <row r="150" spans="11:22" customFormat="1">
      <c r="K150" s="73"/>
      <c r="L150" s="74"/>
      <c r="M150" s="74"/>
      <c r="N150" s="74"/>
      <c r="R150" s="74"/>
      <c r="S150" s="74"/>
      <c r="T150" s="74"/>
      <c r="U150" s="74"/>
      <c r="V150" s="74"/>
    </row>
    <row r="151" spans="11:22" customFormat="1">
      <c r="K151" s="73"/>
      <c r="L151" s="74"/>
      <c r="M151" s="74"/>
      <c r="N151" s="74"/>
      <c r="R151" s="74"/>
      <c r="S151" s="74"/>
      <c r="T151" s="74"/>
      <c r="U151" s="74"/>
      <c r="V151" s="74"/>
    </row>
    <row r="152" spans="11:22" customFormat="1">
      <c r="K152" s="73"/>
      <c r="L152" s="74"/>
      <c r="M152" s="74"/>
      <c r="N152" s="74"/>
      <c r="R152" s="74"/>
      <c r="S152" s="74"/>
      <c r="T152" s="74"/>
      <c r="U152" s="74"/>
      <c r="V152" s="74"/>
    </row>
    <row r="153" spans="11:22" customFormat="1">
      <c r="K153" s="73"/>
      <c r="L153" s="74"/>
      <c r="M153" s="74"/>
      <c r="N153" s="74"/>
      <c r="R153" s="74"/>
      <c r="S153" s="74"/>
      <c r="T153" s="74"/>
      <c r="U153" s="74"/>
      <c r="V153" s="74"/>
    </row>
    <row r="154" spans="11:22" customFormat="1">
      <c r="K154" s="73"/>
      <c r="L154" s="74"/>
      <c r="M154" s="74"/>
      <c r="N154" s="74"/>
      <c r="R154" s="74"/>
      <c r="S154" s="74"/>
      <c r="T154" s="74"/>
      <c r="U154" s="74"/>
      <c r="V154" s="74"/>
    </row>
    <row r="155" spans="11:22" customFormat="1">
      <c r="K155" s="73"/>
      <c r="L155" s="74"/>
      <c r="M155" s="74"/>
      <c r="N155" s="74"/>
      <c r="R155" s="74"/>
      <c r="S155" s="74"/>
      <c r="T155" s="74"/>
      <c r="U155" s="74"/>
      <c r="V155" s="74"/>
    </row>
    <row r="156" spans="11:22" customFormat="1">
      <c r="K156" s="73"/>
      <c r="L156" s="74"/>
      <c r="M156" s="74"/>
      <c r="N156" s="74"/>
      <c r="R156" s="74"/>
      <c r="S156" s="74"/>
      <c r="T156" s="74"/>
      <c r="U156" s="74"/>
      <c r="V156" s="74"/>
    </row>
    <row r="157" spans="11:22" customFormat="1">
      <c r="K157" s="73"/>
      <c r="L157" s="74"/>
      <c r="M157" s="74"/>
      <c r="N157" s="74"/>
      <c r="R157" s="74"/>
      <c r="S157" s="74"/>
      <c r="T157" s="74"/>
      <c r="U157" s="74"/>
      <c r="V157" s="74"/>
    </row>
    <row r="158" spans="11:22" customFormat="1">
      <c r="K158" s="73"/>
      <c r="L158" s="74"/>
      <c r="M158" s="74"/>
      <c r="N158" s="74"/>
      <c r="R158" s="74"/>
      <c r="S158" s="74"/>
      <c r="T158" s="74"/>
      <c r="U158" s="74"/>
      <c r="V158" s="74"/>
    </row>
    <row r="159" spans="11:22" customFormat="1">
      <c r="K159" s="73"/>
      <c r="L159" s="74"/>
      <c r="M159" s="74"/>
      <c r="N159" s="74"/>
      <c r="R159" s="74"/>
      <c r="S159" s="74"/>
      <c r="T159" s="74"/>
      <c r="U159" s="74"/>
      <c r="V159" s="74"/>
    </row>
    <row r="160" spans="11:22" customFormat="1">
      <c r="K160" s="73"/>
      <c r="L160" s="74"/>
      <c r="M160" s="74"/>
      <c r="N160" s="74"/>
      <c r="R160" s="74"/>
      <c r="S160" s="74"/>
      <c r="T160" s="74"/>
      <c r="U160" s="74"/>
      <c r="V160" s="74"/>
    </row>
    <row r="161" spans="11:22" customFormat="1">
      <c r="K161" s="73"/>
      <c r="L161" s="74"/>
      <c r="M161" s="74"/>
      <c r="N161" s="74"/>
      <c r="R161" s="74"/>
      <c r="S161" s="74"/>
      <c r="T161" s="74"/>
      <c r="U161" s="74"/>
      <c r="V161" s="74"/>
    </row>
    <row r="162" spans="11:22" customFormat="1">
      <c r="K162" s="73"/>
      <c r="L162" s="74"/>
      <c r="M162" s="74"/>
      <c r="N162" s="74"/>
      <c r="R162" s="74"/>
      <c r="S162" s="74"/>
      <c r="T162" s="74"/>
      <c r="U162" s="74"/>
      <c r="V162" s="74"/>
    </row>
    <row r="163" spans="11:22" customFormat="1">
      <c r="K163" s="73"/>
      <c r="L163" s="74"/>
      <c r="M163" s="74"/>
      <c r="N163" s="74"/>
      <c r="R163" s="74"/>
      <c r="S163" s="74"/>
      <c r="T163" s="74"/>
      <c r="U163" s="74"/>
      <c r="V163" s="74"/>
    </row>
    <row r="164" spans="11:22" customFormat="1">
      <c r="K164" s="73"/>
      <c r="L164" s="74"/>
      <c r="M164" s="74"/>
      <c r="N164" s="74"/>
      <c r="R164" s="74"/>
      <c r="S164" s="74"/>
      <c r="T164" s="74"/>
      <c r="U164" s="74"/>
      <c r="V164" s="74"/>
    </row>
    <row r="165" spans="11:22" customFormat="1">
      <c r="K165" s="73"/>
      <c r="L165" s="74"/>
      <c r="M165" s="74"/>
      <c r="N165" s="74"/>
      <c r="R165" s="74"/>
      <c r="S165" s="74"/>
      <c r="T165" s="74"/>
      <c r="U165" s="74"/>
      <c r="V165" s="74"/>
    </row>
    <row r="166" spans="11:22" customFormat="1">
      <c r="K166" s="73"/>
      <c r="L166" s="74"/>
      <c r="M166" s="74"/>
      <c r="N166" s="74"/>
      <c r="R166" s="74"/>
      <c r="S166" s="74"/>
      <c r="T166" s="74"/>
      <c r="U166" s="74"/>
      <c r="V166" s="74"/>
    </row>
    <row r="167" spans="11:22" customFormat="1">
      <c r="K167" s="73"/>
      <c r="L167" s="74"/>
      <c r="M167" s="74"/>
      <c r="N167" s="74"/>
      <c r="R167" s="74"/>
      <c r="S167" s="74"/>
      <c r="T167" s="74"/>
      <c r="U167" s="74"/>
      <c r="V167" s="74"/>
    </row>
    <row r="168" spans="11:22" customFormat="1">
      <c r="K168" s="73"/>
      <c r="L168" s="74"/>
      <c r="M168" s="74"/>
      <c r="N168" s="74"/>
      <c r="R168" s="74"/>
      <c r="S168" s="74"/>
      <c r="T168" s="74"/>
      <c r="U168" s="74"/>
      <c r="V168" s="74"/>
    </row>
    <row r="169" spans="11:22" customFormat="1">
      <c r="K169" s="73"/>
      <c r="L169" s="74"/>
      <c r="M169" s="74"/>
      <c r="N169" s="74"/>
      <c r="R169" s="74"/>
      <c r="S169" s="74"/>
      <c r="T169" s="74"/>
      <c r="U169" s="74"/>
      <c r="V169" s="74"/>
    </row>
    <row r="170" spans="11:22" customFormat="1">
      <c r="K170" s="73"/>
      <c r="L170" s="74"/>
      <c r="M170" s="74"/>
      <c r="N170" s="74"/>
      <c r="R170" s="74"/>
      <c r="S170" s="74"/>
      <c r="T170" s="74"/>
      <c r="U170" s="74"/>
      <c r="V170" s="74"/>
    </row>
    <row r="171" spans="11:22" customFormat="1">
      <c r="K171" s="73"/>
      <c r="L171" s="74"/>
      <c r="M171" s="74"/>
      <c r="N171" s="74"/>
      <c r="R171" s="74"/>
      <c r="S171" s="74"/>
      <c r="T171" s="74"/>
      <c r="U171" s="74"/>
      <c r="V171" s="74"/>
    </row>
    <row r="172" spans="11:22" customFormat="1">
      <c r="K172" s="73"/>
      <c r="L172" s="74"/>
      <c r="M172" s="74"/>
      <c r="N172" s="74"/>
      <c r="R172" s="74"/>
      <c r="S172" s="74"/>
      <c r="T172" s="74"/>
      <c r="U172" s="74"/>
      <c r="V172" s="74"/>
    </row>
    <row r="173" spans="11:22" customFormat="1">
      <c r="K173" s="73"/>
      <c r="L173" s="74"/>
      <c r="M173" s="74"/>
      <c r="N173" s="74"/>
      <c r="R173" s="74"/>
      <c r="S173" s="74"/>
      <c r="T173" s="74"/>
      <c r="U173" s="74"/>
      <c r="V173" s="74"/>
    </row>
    <row r="174" spans="11:22" customFormat="1">
      <c r="K174" s="73"/>
      <c r="L174" s="74"/>
      <c r="M174" s="74"/>
      <c r="N174" s="74"/>
      <c r="R174" s="74"/>
      <c r="S174" s="74"/>
      <c r="T174" s="74"/>
      <c r="U174" s="74"/>
      <c r="V174" s="74"/>
    </row>
    <row r="175" spans="11:22" customFormat="1">
      <c r="K175" s="73"/>
      <c r="L175" s="74"/>
      <c r="M175" s="74"/>
      <c r="N175" s="74"/>
      <c r="R175" s="74"/>
      <c r="S175" s="74"/>
      <c r="T175" s="74"/>
      <c r="U175" s="74"/>
      <c r="V175" s="74"/>
    </row>
    <row r="176" spans="11:22" customFormat="1">
      <c r="K176" s="73"/>
      <c r="L176" s="74"/>
      <c r="M176" s="74"/>
      <c r="N176" s="74"/>
      <c r="R176" s="74"/>
      <c r="S176" s="74"/>
      <c r="T176" s="74"/>
      <c r="U176" s="74"/>
      <c r="V176" s="74"/>
    </row>
    <row r="177" spans="11:22" customFormat="1">
      <c r="K177" s="73"/>
      <c r="L177" s="74"/>
      <c r="M177" s="74"/>
      <c r="N177" s="74"/>
      <c r="R177" s="74"/>
      <c r="S177" s="74"/>
      <c r="T177" s="74"/>
      <c r="U177" s="74"/>
      <c r="V177" s="74"/>
    </row>
  </sheetData>
  <mergeCells count="1">
    <mergeCell ref="J18:J2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249977111117893"/>
  </sheetPr>
  <dimension ref="A1:N18"/>
  <sheetViews>
    <sheetView workbookViewId="0">
      <selection activeCell="L4" sqref="L4"/>
    </sheetView>
  </sheetViews>
  <sheetFormatPr defaultRowHeight="12.6"/>
  <cols>
    <col min="2" max="2" width="9.5703125" bestFit="1" customWidth="1"/>
    <col min="11" max="11" width="15" customWidth="1"/>
  </cols>
  <sheetData>
    <row r="1" spans="1:14">
      <c r="A1" s="177" t="s">
        <v>320</v>
      </c>
      <c r="B1" s="160"/>
      <c r="C1" s="160"/>
      <c r="D1" s="160"/>
      <c r="E1" s="160"/>
      <c r="F1" s="160"/>
      <c r="G1" s="160"/>
      <c r="H1" s="160"/>
      <c r="I1" s="160"/>
      <c r="J1" s="160"/>
      <c r="K1" s="160"/>
      <c r="L1" s="160"/>
      <c r="M1" s="160"/>
      <c r="N1" s="72"/>
    </row>
    <row r="2" spans="1:14">
      <c r="A2" s="177" t="s">
        <v>321</v>
      </c>
      <c r="B2" s="160" t="s">
        <v>322</v>
      </c>
      <c r="C2" s="160"/>
      <c r="D2" s="160"/>
      <c r="E2" s="160"/>
      <c r="F2" s="160"/>
      <c r="G2" s="160"/>
      <c r="H2" s="160"/>
      <c r="I2" s="160"/>
      <c r="J2" s="160"/>
      <c r="K2" s="160"/>
      <c r="L2" s="160"/>
      <c r="M2" s="160"/>
      <c r="N2" s="72"/>
    </row>
    <row r="3" spans="1:14" ht="52.5">
      <c r="A3" s="177"/>
      <c r="B3" s="177"/>
      <c r="C3" s="162" t="s">
        <v>269</v>
      </c>
      <c r="D3" s="192" t="s">
        <v>270</v>
      </c>
      <c r="E3" s="192" t="s">
        <v>271</v>
      </c>
      <c r="F3" s="192" t="s">
        <v>272</v>
      </c>
      <c r="G3" s="192" t="s">
        <v>273</v>
      </c>
      <c r="H3" s="192" t="s">
        <v>274</v>
      </c>
      <c r="I3" s="192" t="s">
        <v>275</v>
      </c>
      <c r="J3" s="192" t="s">
        <v>276</v>
      </c>
      <c r="K3" s="192" t="s">
        <v>277</v>
      </c>
      <c r="L3" s="192" t="s">
        <v>278</v>
      </c>
      <c r="M3" s="192" t="s">
        <v>279</v>
      </c>
      <c r="N3" s="72"/>
    </row>
    <row r="4" spans="1:14">
      <c r="A4" s="177" t="s">
        <v>323</v>
      </c>
      <c r="B4" s="301">
        <v>150</v>
      </c>
      <c r="C4" s="302" t="s">
        <v>37</v>
      </c>
      <c r="D4" s="303">
        <f>0.4*3*0.8*4*2000</f>
        <v>7680.0000000000018</v>
      </c>
      <c r="E4" s="226">
        <f>D4*B4</f>
        <v>1152000.0000000002</v>
      </c>
      <c r="F4" s="193">
        <f>VLOOKUP(C4,'Basic Data Input'!J$29:K$32,2, FALSE)</f>
        <v>0.2</v>
      </c>
      <c r="G4" s="172">
        <f>E4*F4</f>
        <v>230400.00000000006</v>
      </c>
      <c r="H4" s="171">
        <f>G4+G5</f>
        <v>232650.00000000006</v>
      </c>
      <c r="I4" s="230">
        <f>H4/B4</f>
        <v>1551.0000000000005</v>
      </c>
      <c r="J4" s="306">
        <v>40</v>
      </c>
      <c r="K4" s="227">
        <f>H4/J4</f>
        <v>5816.2500000000018</v>
      </c>
      <c r="L4" s="226">
        <f>+'Basic Data Input'!L5+'Basic Data Input'!L8</f>
        <v>292500</v>
      </c>
      <c r="M4" s="195">
        <f>K4/L4</f>
        <v>1.9884615384615389E-2</v>
      </c>
      <c r="N4" s="72"/>
    </row>
    <row r="5" spans="1:14">
      <c r="A5" s="177"/>
      <c r="B5" s="301"/>
      <c r="C5" s="302" t="s">
        <v>38</v>
      </c>
      <c r="D5" s="304">
        <v>250</v>
      </c>
      <c r="E5" s="226">
        <f>D5*B4</f>
        <v>37500</v>
      </c>
      <c r="F5" s="193">
        <f>VLOOKUP(C5,'Basic Data Input'!J$29:K$32,2, FALSE)</f>
        <v>0.06</v>
      </c>
      <c r="G5" s="172">
        <f>E5*F5</f>
        <v>2250</v>
      </c>
      <c r="H5" s="218"/>
      <c r="I5" s="219"/>
      <c r="J5" s="220"/>
      <c r="K5" s="229"/>
      <c r="L5" s="226"/>
      <c r="M5" s="160"/>
      <c r="N5" s="72"/>
    </row>
    <row r="6" spans="1:14">
      <c r="A6" s="177" t="s">
        <v>324</v>
      </c>
      <c r="B6" s="277">
        <v>150000</v>
      </c>
      <c r="C6" s="302" t="s">
        <v>39</v>
      </c>
      <c r="D6" s="305">
        <f>173</f>
        <v>173</v>
      </c>
      <c r="E6" s="226">
        <f>D6*B6</f>
        <v>25950000</v>
      </c>
      <c r="F6" s="193">
        <f>VLOOKUP(C6,'Basic Data Input'!J$29:K$32,2, FALSE)</f>
        <v>1.48</v>
      </c>
      <c r="G6" s="160"/>
      <c r="H6" s="160"/>
      <c r="I6" s="226">
        <f>+E6*F6</f>
        <v>38406000</v>
      </c>
      <c r="J6" s="301">
        <v>40</v>
      </c>
      <c r="K6" s="194">
        <f>I6/J6</f>
        <v>960150</v>
      </c>
      <c r="L6" s="226">
        <f>L4</f>
        <v>292500</v>
      </c>
      <c r="M6" s="195">
        <f>K6/L6</f>
        <v>3.2825641025641024</v>
      </c>
      <c r="N6" s="72"/>
    </row>
    <row r="7" spans="1:14">
      <c r="A7" s="160"/>
      <c r="B7" s="160"/>
      <c r="C7" s="160"/>
      <c r="D7" s="160"/>
      <c r="E7" s="160"/>
      <c r="F7" s="160"/>
      <c r="G7" s="160"/>
      <c r="H7" s="160"/>
      <c r="I7" s="160"/>
      <c r="J7" s="160"/>
      <c r="K7" s="160"/>
      <c r="L7" s="160"/>
      <c r="M7" s="160"/>
      <c r="N7" s="72"/>
    </row>
    <row r="8" spans="1:14">
      <c r="A8" s="160"/>
      <c r="B8" s="160"/>
      <c r="C8" s="160"/>
      <c r="D8" s="160"/>
      <c r="E8" s="160"/>
      <c r="F8" s="160"/>
      <c r="G8" s="160"/>
      <c r="H8" s="160"/>
      <c r="I8" s="160"/>
      <c r="J8" s="177" t="s">
        <v>10</v>
      </c>
      <c r="K8" s="228">
        <f>SUM(K4:K6)</f>
        <v>965966.25</v>
      </c>
      <c r="L8" s="160"/>
      <c r="M8" s="195">
        <f>+K8/L4</f>
        <v>3.3024487179487179</v>
      </c>
      <c r="N8" s="72"/>
    </row>
    <row r="9" spans="1:14">
      <c r="A9" s="72"/>
      <c r="B9" s="72"/>
      <c r="C9" s="72"/>
      <c r="D9" s="72"/>
      <c r="E9" s="72"/>
      <c r="F9" s="72"/>
      <c r="G9" s="72"/>
      <c r="H9" s="72"/>
      <c r="I9" s="72"/>
      <c r="J9" s="72"/>
      <c r="K9" s="72"/>
      <c r="L9" s="72"/>
      <c r="M9" s="72"/>
      <c r="N9" s="72"/>
    </row>
    <row r="11" spans="1:14">
      <c r="A11" s="18" t="s">
        <v>325</v>
      </c>
      <c r="B11" s="17"/>
      <c r="C11" s="17"/>
      <c r="D11" s="17"/>
      <c r="E11" s="17"/>
      <c r="F11" s="17"/>
      <c r="G11" s="17"/>
      <c r="H11" s="17"/>
      <c r="I11" s="17"/>
      <c r="J11" s="17"/>
      <c r="K11" s="17"/>
      <c r="L11" s="17"/>
      <c r="M11" s="17"/>
      <c r="N11" s="17"/>
    </row>
    <row r="12" spans="1:14" ht="52.5">
      <c r="A12" s="177"/>
      <c r="B12" s="162" t="s">
        <v>268</v>
      </c>
      <c r="C12" s="162" t="s">
        <v>269</v>
      </c>
      <c r="D12" s="192" t="s">
        <v>270</v>
      </c>
      <c r="E12" s="192" t="s">
        <v>271</v>
      </c>
      <c r="F12" s="192" t="s">
        <v>272</v>
      </c>
      <c r="G12" s="192" t="s">
        <v>273</v>
      </c>
      <c r="H12" s="192" t="s">
        <v>274</v>
      </c>
      <c r="I12" s="192" t="s">
        <v>275</v>
      </c>
      <c r="J12" s="192" t="s">
        <v>276</v>
      </c>
      <c r="K12" s="192" t="s">
        <v>277</v>
      </c>
      <c r="L12" s="192" t="s">
        <v>278</v>
      </c>
      <c r="M12" s="192" t="s">
        <v>279</v>
      </c>
      <c r="N12" s="177"/>
    </row>
    <row r="13" spans="1:14">
      <c r="A13" s="160"/>
      <c r="B13" s="431">
        <f>+'Containment Systems'!C21</f>
        <v>5408</v>
      </c>
      <c r="C13" s="302" t="s">
        <v>37</v>
      </c>
      <c r="D13" s="307">
        <v>2200</v>
      </c>
      <c r="E13" s="172">
        <f>(D13*B13)</f>
        <v>11897600</v>
      </c>
      <c r="F13" s="193">
        <f>VLOOKUP(C13,'Basic Data Input'!J$29:K$32,2, FALSE)</f>
        <v>0.2</v>
      </c>
      <c r="G13" s="172">
        <f>(E13*F13)</f>
        <v>2379520</v>
      </c>
      <c r="H13" s="435">
        <f>G13+G14+G15</f>
        <v>4445376</v>
      </c>
      <c r="I13" s="436">
        <f>H13/B13</f>
        <v>822</v>
      </c>
      <c r="J13" s="431">
        <v>20</v>
      </c>
      <c r="K13" s="435">
        <f>H13/J13</f>
        <v>222268.79999999999</v>
      </c>
      <c r="L13" s="160"/>
      <c r="M13" s="195"/>
      <c r="N13" s="160"/>
    </row>
    <row r="14" spans="1:14">
      <c r="A14" s="160"/>
      <c r="B14" s="431"/>
      <c r="C14" s="302" t="s">
        <v>38</v>
      </c>
      <c r="D14" s="307">
        <v>200</v>
      </c>
      <c r="E14" s="172">
        <f>D14*B13</f>
        <v>1081600</v>
      </c>
      <c r="F14" s="193">
        <f>VLOOKUP(C14,'Basic Data Input'!J$29:K$32,2, FALSE)</f>
        <v>0.06</v>
      </c>
      <c r="G14" s="172">
        <f>E14*F14</f>
        <v>64896</v>
      </c>
      <c r="H14" s="435"/>
      <c r="I14" s="436"/>
      <c r="J14" s="431"/>
      <c r="K14" s="435"/>
      <c r="L14" s="234">
        <f>+'Containment Systems'!B21</f>
        <v>163070</v>
      </c>
      <c r="M14" s="195">
        <f>K13/L14</f>
        <v>1.3630269209541914</v>
      </c>
      <c r="N14" s="160"/>
    </row>
    <row r="15" spans="1:14">
      <c r="A15" s="160"/>
      <c r="B15" s="431"/>
      <c r="C15" s="302" t="s">
        <v>39</v>
      </c>
      <c r="D15" s="308">
        <v>250</v>
      </c>
      <c r="E15" s="172">
        <f>D15*B13</f>
        <v>1352000</v>
      </c>
      <c r="F15" s="193">
        <f>VLOOKUP(C15,'Basic Data Input'!J$29:K$32,2, FALSE)</f>
        <v>1.48</v>
      </c>
      <c r="G15" s="172">
        <f>E15*F15</f>
        <v>2000960</v>
      </c>
      <c r="H15" s="435"/>
      <c r="I15" s="436"/>
      <c r="J15" s="431"/>
      <c r="K15" s="435"/>
      <c r="L15" s="160"/>
      <c r="M15" s="195"/>
      <c r="N15" s="160"/>
    </row>
    <row r="16" spans="1:14">
      <c r="A16" s="72"/>
      <c r="B16" s="72"/>
      <c r="C16" s="72"/>
      <c r="D16" s="72"/>
      <c r="E16" s="72"/>
      <c r="F16" s="72"/>
      <c r="G16" s="72"/>
      <c r="H16" s="72"/>
      <c r="I16" s="72"/>
      <c r="J16" s="177" t="s">
        <v>10</v>
      </c>
      <c r="K16" s="228">
        <f>SUM(K12:K14)</f>
        <v>222268.79999999999</v>
      </c>
      <c r="L16" s="72"/>
      <c r="M16" s="195">
        <f>+M14</f>
        <v>1.3630269209541914</v>
      </c>
      <c r="N16" s="72"/>
    </row>
    <row r="17" spans="1:14" ht="12.95">
      <c r="A17" s="72"/>
      <c r="B17" s="72"/>
      <c r="C17" s="72"/>
      <c r="D17" s="72"/>
      <c r="E17" s="72"/>
      <c r="F17" s="72"/>
      <c r="G17" s="72"/>
      <c r="H17" s="72"/>
      <c r="I17" s="72"/>
      <c r="J17" s="235"/>
      <c r="K17" s="72"/>
      <c r="L17" s="72"/>
      <c r="M17" s="72"/>
      <c r="N17" s="72"/>
    </row>
    <row r="18" spans="1:14">
      <c r="A18" s="72"/>
      <c r="B18" s="72"/>
      <c r="C18" s="72"/>
      <c r="D18" s="72"/>
      <c r="E18" s="72"/>
      <c r="F18" s="72"/>
      <c r="G18" s="72"/>
      <c r="H18" s="72"/>
      <c r="I18" s="72"/>
      <c r="J18" s="72"/>
      <c r="K18" s="72"/>
      <c r="L18" s="72"/>
      <c r="M18" s="72"/>
      <c r="N18" s="72"/>
    </row>
  </sheetData>
  <mergeCells count="5">
    <mergeCell ref="B13:B15"/>
    <mergeCell ref="H13:H15"/>
    <mergeCell ref="I13:I15"/>
    <mergeCell ref="J13:J15"/>
    <mergeCell ref="K13:K15"/>
  </mergeCells>
  <dataValidations count="1">
    <dataValidation type="list" allowBlank="1" showInputMessage="1" showErrorMessage="1" sqref="C13:C15" xr:uid="{00000000-0002-0000-0900-000000000000}">
      <formula1>$J$29:$J$32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'Basic Data Input'!$J$29:$J$32</xm:f>
          </x14:formula1>
          <xm:sqref>C4:C6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A1:Y123"/>
  <sheetViews>
    <sheetView zoomScaleNormal="100" workbookViewId="0">
      <selection activeCell="O9" sqref="O9"/>
    </sheetView>
  </sheetViews>
  <sheetFormatPr defaultRowHeight="12.6"/>
  <cols>
    <col min="8" max="8" width="19.28515625" customWidth="1"/>
    <col min="11" max="11" width="13" customWidth="1"/>
    <col min="12" max="12" width="11" customWidth="1"/>
    <col min="13" max="13" width="9.7109375" customWidth="1"/>
    <col min="14" max="14" width="10.5703125" customWidth="1"/>
    <col min="15" max="15" width="10.7109375" customWidth="1"/>
  </cols>
  <sheetData>
    <row r="1" spans="1:25">
      <c r="A1" s="18" t="s">
        <v>326</v>
      </c>
      <c r="B1" s="35"/>
      <c r="C1" s="35"/>
      <c r="D1" s="35"/>
      <c r="E1" s="35"/>
      <c r="F1" s="36"/>
      <c r="G1" s="17"/>
      <c r="H1" s="48"/>
      <c r="I1" s="49"/>
      <c r="J1" s="49"/>
      <c r="K1" s="49"/>
      <c r="L1" s="49"/>
      <c r="M1" s="49"/>
      <c r="N1" s="49"/>
      <c r="O1" s="49"/>
      <c r="P1" s="49"/>
      <c r="Q1" s="49"/>
      <c r="R1" s="329"/>
    </row>
    <row r="2" spans="1:25">
      <c r="A2" s="37" t="s">
        <v>327</v>
      </c>
      <c r="B2" s="38"/>
      <c r="C2" s="38"/>
      <c r="D2" s="38"/>
      <c r="E2" s="38"/>
      <c r="F2" s="39"/>
      <c r="G2" s="17"/>
      <c r="H2" s="50" t="s">
        <v>328</v>
      </c>
      <c r="I2" s="7" t="s">
        <v>329</v>
      </c>
      <c r="J2" s="15"/>
      <c r="K2" s="15"/>
      <c r="L2" s="15"/>
      <c r="M2" s="15"/>
      <c r="N2" s="15"/>
      <c r="O2" s="15"/>
      <c r="P2" s="15"/>
      <c r="Q2" s="15"/>
      <c r="R2" s="329"/>
      <c r="W2" t="s">
        <v>238</v>
      </c>
      <c r="X2" t="s">
        <v>244</v>
      </c>
      <c r="Y2" t="s">
        <v>245</v>
      </c>
    </row>
    <row r="3" spans="1:25" ht="12.6" customHeight="1">
      <c r="A3" s="40" t="s">
        <v>330</v>
      </c>
      <c r="B3" s="38"/>
      <c r="C3" s="38"/>
      <c r="D3" s="38"/>
      <c r="E3" s="38"/>
      <c r="F3" s="39"/>
      <c r="G3" s="17"/>
      <c r="H3" s="51" t="s">
        <v>331</v>
      </c>
      <c r="I3" s="310">
        <f>+X3</f>
        <v>25.62</v>
      </c>
      <c r="J3" s="15" t="s">
        <v>332</v>
      </c>
      <c r="K3" s="15"/>
      <c r="L3" s="15"/>
      <c r="M3" s="15"/>
      <c r="N3" s="15"/>
      <c r="O3" s="15"/>
      <c r="P3" s="15"/>
      <c r="Q3" s="15"/>
      <c r="R3" s="329"/>
      <c r="U3" t="s">
        <v>247</v>
      </c>
      <c r="W3">
        <f>+X3*0.8</f>
        <v>20.496000000000002</v>
      </c>
      <c r="X3">
        <v>25.62</v>
      </c>
      <c r="Y3">
        <f>+X3*1.2</f>
        <v>30.744</v>
      </c>
    </row>
    <row r="4" spans="1:25">
      <c r="A4" s="40" t="s">
        <v>333</v>
      </c>
      <c r="B4" s="38"/>
      <c r="C4" s="38"/>
      <c r="D4" s="38"/>
      <c r="E4" s="38"/>
      <c r="F4" s="39"/>
      <c r="G4" s="17"/>
      <c r="H4" s="51" t="s">
        <v>334</v>
      </c>
      <c r="I4" s="315">
        <f>+X3</f>
        <v>25.62</v>
      </c>
      <c r="J4" s="15" t="s">
        <v>332</v>
      </c>
      <c r="K4" s="15"/>
      <c r="L4" s="15"/>
      <c r="M4" s="15"/>
      <c r="N4" s="15"/>
      <c r="O4" s="15"/>
      <c r="P4" s="15"/>
      <c r="Q4" s="15"/>
      <c r="R4" s="329"/>
    </row>
    <row r="5" spans="1:25">
      <c r="A5" s="40" t="s">
        <v>335</v>
      </c>
      <c r="B5" s="38"/>
      <c r="C5" s="38"/>
      <c r="D5" s="38"/>
      <c r="E5" s="38"/>
      <c r="F5" s="39"/>
      <c r="G5" s="17"/>
      <c r="H5" s="51"/>
      <c r="I5" s="15"/>
      <c r="J5" s="15"/>
      <c r="K5" s="15"/>
      <c r="L5" s="15"/>
      <c r="M5" s="15"/>
      <c r="N5" s="15"/>
      <c r="O5" s="15"/>
      <c r="P5" s="15"/>
      <c r="Q5" s="15"/>
      <c r="R5" s="329"/>
    </row>
    <row r="6" spans="1:25">
      <c r="A6" s="40" t="s">
        <v>336</v>
      </c>
      <c r="B6" s="38"/>
      <c r="C6" s="38"/>
      <c r="D6" s="38"/>
      <c r="E6" s="38"/>
      <c r="F6" s="39"/>
      <c r="G6" s="17"/>
      <c r="H6" s="51"/>
      <c r="I6" s="15"/>
      <c r="J6" s="15"/>
      <c r="K6" s="15"/>
      <c r="L6" s="15"/>
      <c r="M6" s="15"/>
      <c r="N6" s="15"/>
      <c r="O6" s="15"/>
      <c r="P6" s="15"/>
      <c r="Q6" s="15"/>
      <c r="R6" s="329"/>
    </row>
    <row r="7" spans="1:25" ht="21">
      <c r="A7" s="40" t="s">
        <v>337</v>
      </c>
      <c r="B7" s="38"/>
      <c r="C7" s="38"/>
      <c r="D7" s="38"/>
      <c r="E7" s="38"/>
      <c r="F7" s="39"/>
      <c r="G7" s="17"/>
      <c r="H7" s="50" t="s">
        <v>338</v>
      </c>
      <c r="I7" s="52" t="s">
        <v>339</v>
      </c>
      <c r="J7" s="53"/>
      <c r="K7" s="11" t="s">
        <v>340</v>
      </c>
      <c r="L7" s="8" t="s">
        <v>341</v>
      </c>
      <c r="M7" s="8" t="s">
        <v>342</v>
      </c>
      <c r="N7" s="8" t="s">
        <v>343</v>
      </c>
      <c r="O7" s="8" t="s">
        <v>344</v>
      </c>
      <c r="P7" s="8" t="s">
        <v>345</v>
      </c>
      <c r="Q7" s="331" t="s">
        <v>346</v>
      </c>
      <c r="R7" s="329"/>
    </row>
    <row r="8" spans="1:25" ht="13.5">
      <c r="A8" s="40" t="s">
        <v>347</v>
      </c>
      <c r="B8" s="38"/>
      <c r="C8" s="38"/>
      <c r="D8" s="38"/>
      <c r="E8" s="38"/>
      <c r="F8" s="39"/>
      <c r="G8" s="17"/>
      <c r="H8" s="51"/>
      <c r="I8" s="7" t="s">
        <v>348</v>
      </c>
      <c r="J8" s="7" t="s">
        <v>159</v>
      </c>
      <c r="K8" s="7" t="s">
        <v>348</v>
      </c>
      <c r="L8" s="7" t="s">
        <v>349</v>
      </c>
      <c r="M8" s="54" t="s">
        <v>1</v>
      </c>
      <c r="N8" s="54"/>
      <c r="O8" s="54" t="s">
        <v>1</v>
      </c>
      <c r="P8" s="54" t="s">
        <v>1</v>
      </c>
      <c r="Q8" s="332" t="s">
        <v>350</v>
      </c>
      <c r="R8" s="329"/>
    </row>
    <row r="9" spans="1:25">
      <c r="A9" s="40" t="s">
        <v>351</v>
      </c>
      <c r="B9" s="38"/>
      <c r="C9" s="38"/>
      <c r="D9" s="38"/>
      <c r="E9" s="38"/>
      <c r="F9" s="39"/>
      <c r="G9" s="17"/>
      <c r="H9" s="309" t="s">
        <v>352</v>
      </c>
      <c r="I9" s="310">
        <v>0.25</v>
      </c>
      <c r="J9" s="311">
        <v>0.85</v>
      </c>
      <c r="K9" s="19">
        <f>+I9*J9</f>
        <v>0.21249999999999999</v>
      </c>
      <c r="L9" s="310">
        <v>30</v>
      </c>
      <c r="M9" s="312">
        <v>0.5</v>
      </c>
      <c r="N9" s="313"/>
      <c r="O9" s="374">
        <v>0</v>
      </c>
      <c r="P9" s="312">
        <v>0.6</v>
      </c>
      <c r="Q9" s="17">
        <v>0</v>
      </c>
      <c r="R9" s="329"/>
      <c r="U9" s="312">
        <v>0.6</v>
      </c>
    </row>
    <row r="10" spans="1:25">
      <c r="A10" s="40" t="s">
        <v>353</v>
      </c>
      <c r="B10" s="38"/>
      <c r="C10" s="38"/>
      <c r="D10" s="38"/>
      <c r="E10" s="38"/>
      <c r="F10" s="39"/>
      <c r="G10" s="17"/>
      <c r="H10" s="309" t="s">
        <v>354</v>
      </c>
      <c r="I10" s="310">
        <v>0.25</v>
      </c>
      <c r="J10" s="311">
        <v>0.5</v>
      </c>
      <c r="K10" s="19">
        <f>+I10*J10</f>
        <v>0.125</v>
      </c>
      <c r="L10" s="310">
        <v>30</v>
      </c>
      <c r="M10" s="312">
        <v>0.5</v>
      </c>
      <c r="N10" s="313"/>
      <c r="O10" s="374">
        <v>0</v>
      </c>
      <c r="P10" s="312">
        <v>0.6</v>
      </c>
      <c r="Q10" s="17">
        <v>8.0000000000000002E-3</v>
      </c>
      <c r="R10" s="329"/>
      <c r="U10" s="312">
        <v>0.6</v>
      </c>
    </row>
    <row r="11" spans="1:25">
      <c r="A11" s="42"/>
      <c r="B11" s="43"/>
      <c r="C11" s="43"/>
      <c r="D11" s="43"/>
      <c r="E11" s="43"/>
      <c r="F11" s="44"/>
      <c r="G11" s="17"/>
      <c r="H11" s="309" t="s">
        <v>355</v>
      </c>
      <c r="I11" s="310">
        <v>0.25</v>
      </c>
      <c r="J11" s="311">
        <v>0.25</v>
      </c>
      <c r="K11" s="19">
        <f>+I11*J11</f>
        <v>6.25E-2</v>
      </c>
      <c r="L11" s="310">
        <v>90</v>
      </c>
      <c r="M11" s="312">
        <v>0</v>
      </c>
      <c r="N11" s="313"/>
      <c r="O11" s="374">
        <v>0</v>
      </c>
      <c r="P11" s="312">
        <v>0.5</v>
      </c>
      <c r="Q11" s="17">
        <v>5.0000000000000001E-3</v>
      </c>
      <c r="R11" s="329"/>
      <c r="U11" s="312">
        <v>0.5</v>
      </c>
    </row>
    <row r="12" spans="1:25">
      <c r="A12" s="17"/>
      <c r="B12" s="17"/>
      <c r="C12" s="17"/>
      <c r="D12" s="17"/>
      <c r="E12" s="17"/>
      <c r="F12" s="17"/>
      <c r="G12" s="17"/>
      <c r="H12" s="309" t="s">
        <v>356</v>
      </c>
      <c r="I12" s="310">
        <v>0.25</v>
      </c>
      <c r="J12" s="311">
        <v>0.9</v>
      </c>
      <c r="K12" s="19">
        <f t="shared" ref="K12:K18" si="0">+I12*J12</f>
        <v>0.22500000000000001</v>
      </c>
      <c r="L12" s="310">
        <v>15</v>
      </c>
      <c r="M12" s="313"/>
      <c r="N12" s="312">
        <v>0.5</v>
      </c>
      <c r="O12" s="374">
        <v>0</v>
      </c>
      <c r="P12" s="312">
        <v>0.6</v>
      </c>
      <c r="Q12" s="17">
        <v>0</v>
      </c>
      <c r="R12" s="329"/>
      <c r="U12" s="312">
        <v>0.6</v>
      </c>
    </row>
    <row r="13" spans="1:25">
      <c r="A13" s="45" t="s">
        <v>357</v>
      </c>
      <c r="B13" s="35"/>
      <c r="C13" s="35"/>
      <c r="D13" s="35"/>
      <c r="E13" s="35"/>
      <c r="F13" s="36"/>
      <c r="G13" s="17"/>
      <c r="H13" s="309" t="s">
        <v>358</v>
      </c>
      <c r="I13" s="310">
        <v>0.25</v>
      </c>
      <c r="J13" s="311">
        <v>0.25</v>
      </c>
      <c r="K13" s="19">
        <f t="shared" si="0"/>
        <v>6.25E-2</v>
      </c>
      <c r="L13" s="310">
        <v>60</v>
      </c>
      <c r="M13" s="313"/>
      <c r="N13" s="312">
        <v>0</v>
      </c>
      <c r="O13" s="374">
        <v>0</v>
      </c>
      <c r="P13" s="312">
        <v>0.7</v>
      </c>
      <c r="Q13" s="17">
        <v>5.0000000000000001E-3</v>
      </c>
      <c r="R13" s="329"/>
      <c r="U13" s="312">
        <v>0.7</v>
      </c>
    </row>
    <row r="14" spans="1:25">
      <c r="A14" s="37" t="s">
        <v>359</v>
      </c>
      <c r="B14" s="38"/>
      <c r="C14" s="38"/>
      <c r="D14" s="38"/>
      <c r="E14" s="38"/>
      <c r="F14" s="39"/>
      <c r="G14" s="17"/>
      <c r="H14" s="309" t="s">
        <v>360</v>
      </c>
      <c r="I14" s="310">
        <v>0.25</v>
      </c>
      <c r="J14" s="311">
        <v>0.5</v>
      </c>
      <c r="K14" s="19">
        <f t="shared" si="0"/>
        <v>0.125</v>
      </c>
      <c r="L14" s="310"/>
      <c r="M14" s="312"/>
      <c r="N14" s="312"/>
      <c r="O14" s="310"/>
      <c r="P14" s="314"/>
      <c r="Q14" s="17">
        <v>1.6E-2</v>
      </c>
      <c r="R14" s="329"/>
    </row>
    <row r="15" spans="1:25">
      <c r="A15" s="40" t="s">
        <v>330</v>
      </c>
      <c r="B15" s="38"/>
      <c r="C15" s="38"/>
      <c r="D15" s="38"/>
      <c r="E15" s="38"/>
      <c r="F15" s="39"/>
      <c r="G15" s="17"/>
      <c r="H15" s="309" t="s">
        <v>361</v>
      </c>
      <c r="I15" s="310"/>
      <c r="J15" s="311"/>
      <c r="K15" s="19">
        <f t="shared" si="0"/>
        <v>0</v>
      </c>
      <c r="L15" s="310"/>
      <c r="M15" s="312"/>
      <c r="N15" s="312"/>
      <c r="O15" s="310"/>
      <c r="P15" s="314"/>
      <c r="Q15" s="15"/>
      <c r="R15" s="329"/>
    </row>
    <row r="16" spans="1:25">
      <c r="A16" s="40" t="s">
        <v>362</v>
      </c>
      <c r="B16" s="38"/>
      <c r="C16" s="38"/>
      <c r="D16" s="38"/>
      <c r="E16" s="38"/>
      <c r="F16" s="39"/>
      <c r="G16" s="17"/>
      <c r="H16" s="309" t="s">
        <v>363</v>
      </c>
      <c r="I16" s="310"/>
      <c r="J16" s="311"/>
      <c r="K16" s="19">
        <f t="shared" si="0"/>
        <v>0</v>
      </c>
      <c r="L16" s="310"/>
      <c r="M16" s="312"/>
      <c r="N16" s="312"/>
      <c r="O16" s="310"/>
      <c r="P16" s="314"/>
      <c r="Q16" s="15"/>
      <c r="R16" s="329"/>
    </row>
    <row r="17" spans="1:18">
      <c r="A17" s="40" t="s">
        <v>364</v>
      </c>
      <c r="B17" s="38"/>
      <c r="C17" s="38"/>
      <c r="D17" s="38"/>
      <c r="E17" s="38"/>
      <c r="F17" s="39"/>
      <c r="G17" s="17"/>
      <c r="H17" s="309" t="s">
        <v>365</v>
      </c>
      <c r="I17" s="310"/>
      <c r="J17" s="311"/>
      <c r="K17" s="19">
        <f t="shared" si="0"/>
        <v>0</v>
      </c>
      <c r="L17" s="310"/>
      <c r="M17" s="312"/>
      <c r="N17" s="312"/>
      <c r="O17" s="310"/>
      <c r="P17" s="314"/>
      <c r="Q17" s="15"/>
      <c r="R17" s="329"/>
    </row>
    <row r="18" spans="1:18">
      <c r="A18" s="40" t="s">
        <v>336</v>
      </c>
      <c r="B18" s="38"/>
      <c r="C18" s="38"/>
      <c r="D18" s="38"/>
      <c r="E18" s="38"/>
      <c r="F18" s="39"/>
      <c r="G18" s="17"/>
      <c r="H18" s="309" t="s">
        <v>366</v>
      </c>
      <c r="I18" s="310"/>
      <c r="J18" s="311"/>
      <c r="K18" s="19">
        <f t="shared" si="0"/>
        <v>0</v>
      </c>
      <c r="L18" s="310"/>
      <c r="M18" s="312"/>
      <c r="N18" s="312"/>
      <c r="O18" s="310"/>
      <c r="P18" s="314"/>
      <c r="Q18" s="15"/>
      <c r="R18" s="329"/>
    </row>
    <row r="19" spans="1:18">
      <c r="A19" s="40" t="s">
        <v>337</v>
      </c>
      <c r="B19" s="38"/>
      <c r="C19" s="38"/>
      <c r="D19" s="38"/>
      <c r="E19" s="38"/>
      <c r="F19" s="39"/>
      <c r="G19" s="17"/>
      <c r="H19" s="51"/>
      <c r="I19" s="15"/>
      <c r="J19" s="15"/>
      <c r="K19" s="15"/>
      <c r="L19" s="15"/>
      <c r="M19" s="15"/>
      <c r="N19" s="15"/>
      <c r="O19" s="15"/>
      <c r="P19" s="15"/>
      <c r="Q19" s="15"/>
      <c r="R19" s="329"/>
    </row>
    <row r="20" spans="1:18">
      <c r="A20" s="40" t="s">
        <v>367</v>
      </c>
      <c r="B20" s="38"/>
      <c r="C20" s="38"/>
      <c r="D20" s="38"/>
      <c r="E20" s="38"/>
      <c r="F20" s="39"/>
      <c r="G20" s="17"/>
      <c r="H20" s="51"/>
      <c r="I20" s="15"/>
      <c r="J20" s="15"/>
      <c r="K20" s="15"/>
      <c r="L20" s="15"/>
      <c r="M20" s="15"/>
      <c r="N20" s="15"/>
      <c r="O20" s="15"/>
      <c r="P20" s="15"/>
      <c r="Q20" s="15"/>
      <c r="R20" s="329"/>
    </row>
    <row r="21" spans="1:18">
      <c r="A21" s="40" t="s">
        <v>368</v>
      </c>
      <c r="B21" s="38"/>
      <c r="C21" s="38"/>
      <c r="D21" s="38"/>
      <c r="E21" s="38"/>
      <c r="F21" s="39"/>
      <c r="G21" s="17"/>
      <c r="H21" s="51"/>
      <c r="I21" s="15"/>
      <c r="J21" s="15"/>
      <c r="K21" s="15"/>
      <c r="L21" s="15"/>
      <c r="M21" s="15"/>
      <c r="N21" s="15"/>
      <c r="O21" s="15"/>
      <c r="P21" s="15"/>
      <c r="Q21" s="15"/>
      <c r="R21" s="329"/>
    </row>
    <row r="22" spans="1:18">
      <c r="A22" s="46" t="s">
        <v>369</v>
      </c>
      <c r="B22" s="38"/>
      <c r="C22" s="38"/>
      <c r="D22" s="38"/>
      <c r="E22" s="38"/>
      <c r="F22" s="39"/>
      <c r="G22" s="17"/>
      <c r="H22" s="51"/>
      <c r="I22" s="15"/>
      <c r="J22" s="15"/>
      <c r="K22" s="15"/>
      <c r="L22" s="15"/>
      <c r="M22" s="15"/>
      <c r="N22" s="15"/>
      <c r="O22" s="15"/>
      <c r="P22" s="15"/>
      <c r="Q22" s="15"/>
      <c r="R22" s="329"/>
    </row>
    <row r="23" spans="1:18">
      <c r="A23" s="47" t="s">
        <v>370</v>
      </c>
      <c r="B23" s="43"/>
      <c r="C23" s="43"/>
      <c r="D23" s="43"/>
      <c r="E23" s="43"/>
      <c r="F23" s="44"/>
      <c r="G23" s="17"/>
      <c r="H23" s="55"/>
      <c r="I23" s="56"/>
      <c r="J23" s="56"/>
      <c r="K23" s="56"/>
      <c r="L23" s="56"/>
      <c r="M23" s="56"/>
      <c r="N23" s="56"/>
      <c r="O23" s="56"/>
      <c r="P23" s="56"/>
      <c r="Q23" s="56"/>
      <c r="R23" s="330"/>
    </row>
    <row r="25" spans="1:18">
      <c r="A25" s="17" t="s">
        <v>371</v>
      </c>
      <c r="B25" s="17"/>
      <c r="C25" s="17"/>
      <c r="D25" s="17"/>
      <c r="E25" s="17"/>
      <c r="F25" s="17"/>
    </row>
    <row r="26" spans="1:18">
      <c r="A26" s="17"/>
      <c r="B26" s="17" t="s">
        <v>372</v>
      </c>
      <c r="C26" s="17" t="s">
        <v>373</v>
      </c>
      <c r="E26" s="17"/>
      <c r="F26" s="17"/>
    </row>
    <row r="27" spans="1:18">
      <c r="A27" s="17" t="s">
        <v>331</v>
      </c>
      <c r="B27" s="41">
        <v>0.8</v>
      </c>
      <c r="C27" s="41">
        <v>0.2</v>
      </c>
      <c r="D27" s="17"/>
      <c r="E27" s="17"/>
      <c r="F27" s="17"/>
    </row>
    <row r="28" spans="1:18">
      <c r="A28" s="17" t="s">
        <v>374</v>
      </c>
      <c r="B28" s="41">
        <v>0.33</v>
      </c>
      <c r="C28" s="41">
        <v>0.67</v>
      </c>
      <c r="D28" s="17"/>
      <c r="E28" s="17"/>
      <c r="F28" s="17"/>
    </row>
    <row r="30" spans="1:18">
      <c r="A30" s="17"/>
    </row>
    <row r="31" spans="1:18">
      <c r="B31" s="17"/>
      <c r="C31" s="17"/>
    </row>
    <row r="32" spans="1:18">
      <c r="A32" s="17"/>
      <c r="B32" s="41"/>
      <c r="C32" s="41"/>
    </row>
    <row r="33" spans="1:3">
      <c r="A33" s="17"/>
      <c r="C33" s="41"/>
    </row>
    <row r="34" spans="1:3">
      <c r="A34" s="17"/>
    </row>
    <row r="35" spans="1:3">
      <c r="A35" s="17"/>
    </row>
    <row r="70" spans="8:8">
      <c r="H70" t="s">
        <v>375</v>
      </c>
    </row>
    <row r="71" spans="8:8">
      <c r="H71" t="s">
        <v>376</v>
      </c>
    </row>
    <row r="72" spans="8:8">
      <c r="H72" t="s">
        <v>377</v>
      </c>
    </row>
    <row r="73" spans="8:8">
      <c r="H73" t="s">
        <v>378</v>
      </c>
    </row>
    <row r="74" spans="8:8">
      <c r="H74" t="s">
        <v>379</v>
      </c>
    </row>
    <row r="75" spans="8:8">
      <c r="H75" t="s">
        <v>380</v>
      </c>
    </row>
    <row r="114" spans="8:8">
      <c r="H114" t="s">
        <v>375</v>
      </c>
    </row>
    <row r="116" spans="8:8">
      <c r="H116" t="s">
        <v>376</v>
      </c>
    </row>
    <row r="118" spans="8:8">
      <c r="H118" t="s">
        <v>377</v>
      </c>
    </row>
    <row r="120" spans="8:8">
      <c r="H120" t="s">
        <v>381</v>
      </c>
    </row>
    <row r="121" spans="8:8">
      <c r="H121" t="s">
        <v>382</v>
      </c>
    </row>
    <row r="123" spans="8:8">
      <c r="H123" t="s">
        <v>383</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1:Q35"/>
  <sheetViews>
    <sheetView workbookViewId="0">
      <selection activeCell="D1" sqref="D1"/>
    </sheetView>
  </sheetViews>
  <sheetFormatPr defaultRowHeight="12.6"/>
  <cols>
    <col min="1" max="1" width="18" customWidth="1"/>
    <col min="2" max="2" width="11.7109375" customWidth="1"/>
    <col min="3" max="3" width="11.42578125" customWidth="1"/>
    <col min="4" max="4" width="11.42578125" bestFit="1" customWidth="1"/>
    <col min="7" max="7" width="11.42578125" bestFit="1" customWidth="1"/>
    <col min="12" max="12" width="10" bestFit="1" customWidth="1"/>
    <col min="13" max="13" width="14.28515625" customWidth="1"/>
  </cols>
  <sheetData>
    <row r="1" spans="1:17">
      <c r="A1" s="14" t="s">
        <v>384</v>
      </c>
      <c r="B1" s="14" t="s">
        <v>385</v>
      </c>
      <c r="C1" s="15"/>
      <c r="D1" s="16">
        <f>+'Basic Data Input'!L5</f>
        <v>180000</v>
      </c>
      <c r="E1" s="15"/>
      <c r="F1" s="15"/>
      <c r="G1" s="17"/>
      <c r="H1" s="17"/>
      <c r="I1" s="17"/>
      <c r="J1" s="17"/>
      <c r="K1" s="17"/>
      <c r="L1" s="17"/>
      <c r="M1" s="17"/>
      <c r="N1" s="17"/>
      <c r="O1" s="17"/>
      <c r="P1" s="17"/>
      <c r="Q1" s="17"/>
    </row>
    <row r="2" spans="1:17">
      <c r="A2" s="15"/>
      <c r="B2" s="14" t="s">
        <v>386</v>
      </c>
      <c r="C2" s="15"/>
      <c r="D2" s="15">
        <f>+'WW and FSM data'!I3</f>
        <v>25.62</v>
      </c>
      <c r="E2" s="14" t="s">
        <v>332</v>
      </c>
      <c r="F2" s="15"/>
      <c r="G2" s="17"/>
      <c r="H2" s="17"/>
      <c r="I2" s="17"/>
      <c r="J2" s="17"/>
      <c r="K2" s="17"/>
      <c r="L2" s="17"/>
      <c r="M2" s="17"/>
      <c r="N2" s="17"/>
      <c r="O2" s="17"/>
      <c r="P2" s="17"/>
      <c r="Q2" s="17"/>
    </row>
    <row r="3" spans="1:17">
      <c r="A3" s="15"/>
      <c r="B3" s="14"/>
      <c r="C3" s="15"/>
      <c r="D3" s="15">
        <f>+D2/365</f>
        <v>7.0191780821917807E-2</v>
      </c>
      <c r="E3" s="14" t="s">
        <v>387</v>
      </c>
      <c r="F3" s="15"/>
      <c r="G3" s="17"/>
      <c r="H3" s="17"/>
      <c r="I3" s="17"/>
      <c r="J3" s="17"/>
      <c r="K3" s="17"/>
      <c r="L3" s="17"/>
      <c r="M3" s="17"/>
      <c r="N3" s="17"/>
      <c r="O3" s="17"/>
      <c r="P3" s="17"/>
      <c r="Q3" s="17"/>
    </row>
    <row r="4" spans="1:17" ht="13.15" customHeight="1">
      <c r="A4" s="15" t="s">
        <v>388</v>
      </c>
      <c r="B4" s="14" t="s">
        <v>389</v>
      </c>
      <c r="C4" s="437" t="s">
        <v>390</v>
      </c>
      <c r="D4" s="22" t="s">
        <v>36</v>
      </c>
      <c r="E4" s="7" t="s">
        <v>391</v>
      </c>
      <c r="F4" s="30" t="s">
        <v>392</v>
      </c>
      <c r="G4" s="7" t="s">
        <v>393</v>
      </c>
      <c r="H4" s="7" t="s">
        <v>394</v>
      </c>
      <c r="I4" s="437" t="s">
        <v>395</v>
      </c>
      <c r="J4" s="11" t="s">
        <v>396</v>
      </c>
      <c r="K4" s="11" t="s">
        <v>397</v>
      </c>
      <c r="L4" s="7" t="s">
        <v>398</v>
      </c>
      <c r="M4" s="437" t="s">
        <v>399</v>
      </c>
      <c r="N4" s="437" t="s">
        <v>400</v>
      </c>
      <c r="O4" s="437" t="s">
        <v>401</v>
      </c>
      <c r="P4" s="437" t="s">
        <v>402</v>
      </c>
      <c r="Q4" s="14"/>
    </row>
    <row r="5" spans="1:17" ht="21">
      <c r="A5" s="15"/>
      <c r="B5" s="24" t="s">
        <v>332</v>
      </c>
      <c r="C5" s="437"/>
      <c r="D5" s="23" t="s">
        <v>403</v>
      </c>
      <c r="E5" s="7" t="s">
        <v>349</v>
      </c>
      <c r="F5" s="7" t="s">
        <v>1</v>
      </c>
      <c r="G5" s="7" t="s">
        <v>1</v>
      </c>
      <c r="H5" s="7" t="s">
        <v>1</v>
      </c>
      <c r="I5" s="437"/>
      <c r="J5" s="11"/>
      <c r="K5" s="11"/>
      <c r="L5" s="8" t="s">
        <v>404</v>
      </c>
      <c r="M5" s="437"/>
      <c r="N5" s="437"/>
      <c r="O5" s="437"/>
      <c r="P5" s="437"/>
      <c r="Q5" s="14"/>
    </row>
    <row r="6" spans="1:17">
      <c r="A6" s="310" t="s">
        <v>352</v>
      </c>
      <c r="B6" s="15">
        <f>IF(A6="Bla*", 0,D2)</f>
        <v>25.62</v>
      </c>
      <c r="C6" s="27"/>
      <c r="D6" s="19">
        <f>VLOOKUP($A6, 'WW and FSM data'!$H$9:$P$18, 4, FALSE)</f>
        <v>0.21249999999999999</v>
      </c>
      <c r="E6" s="20">
        <f>VLOOKUP($A6, 'WW and FSM data'!$H$9:$P$18, 5, FALSE)</f>
        <v>30</v>
      </c>
      <c r="F6" s="21">
        <f>VLOOKUP($A6, 'WW and FSM data'!$H$9:$P$18, 6, FALSE)</f>
        <v>0.5</v>
      </c>
      <c r="G6" s="21">
        <f>VLOOKUP($A6, 'WW and FSM data'!$H$9:$P$18, 7, FALSE)</f>
        <v>0</v>
      </c>
      <c r="H6" s="21">
        <f>VLOOKUP($A6, 'WW and FSM data'!$H$9:$P$18, 8, FALSE)</f>
        <v>0</v>
      </c>
      <c r="I6" s="21">
        <f>VLOOKUP($A6, 'WW and FSM data'!$H$9:$P$18, 9, FALSE)</f>
        <v>0.6</v>
      </c>
      <c r="J6" s="16">
        <f>+C6*D6</f>
        <v>0</v>
      </c>
      <c r="K6" s="16">
        <f>+B6*(1-(F6+G6+H6))</f>
        <v>12.81</v>
      </c>
      <c r="L6" s="26">
        <f>+J6*K6</f>
        <v>0</v>
      </c>
      <c r="M6" s="16">
        <f>+L6*'Basic Data Input'!$K$26</f>
        <v>0</v>
      </c>
      <c r="N6" s="16">
        <f t="shared" ref="N6:N13" si="0">IF(A6="Drying Beds", 0,+C6*F6)</f>
        <v>0</v>
      </c>
      <c r="O6" s="16">
        <f t="shared" ref="O6:O13" si="1">+C6-N6</f>
        <v>0</v>
      </c>
      <c r="P6" s="26">
        <f t="shared" ref="P6:P13" si="2">+B6*(1-I6)</f>
        <v>10.248000000000001</v>
      </c>
      <c r="Q6" s="16"/>
    </row>
    <row r="7" spans="1:17">
      <c r="A7" s="310" t="s">
        <v>354</v>
      </c>
      <c r="B7" s="27">
        <f t="shared" ref="B7:B13" si="3">IF(ISNUMBER(SEARCH("Bla", A7)), 0, IF(A7="Drying Beds",D1,P6))</f>
        <v>10.248000000000001</v>
      </c>
      <c r="C7" s="27">
        <f t="shared" ref="C7:C13" si="4">IF(ISNUMBER(SEARCH("Bla", A7)), 0, IF(A7="Drying Beds",N14,O6))</f>
        <v>0</v>
      </c>
      <c r="D7" s="19">
        <f>VLOOKUP($A7, 'WW and FSM data'!$H$9:$P$18, 4, FALSE)</f>
        <v>0.125</v>
      </c>
      <c r="E7" s="20">
        <f>VLOOKUP($A7, 'WW and FSM data'!$H$9:$P$18, 5, FALSE)</f>
        <v>30</v>
      </c>
      <c r="F7" s="21">
        <f>VLOOKUP($A7, 'WW and FSM data'!$H$9:$P$18, 6, FALSE)</f>
        <v>0.5</v>
      </c>
      <c r="G7" s="21">
        <f>VLOOKUP($A7, 'WW and FSM data'!$H$9:$P$18, 7, FALSE)</f>
        <v>0</v>
      </c>
      <c r="H7" s="21">
        <f>VLOOKUP($A7, 'WW and FSM data'!$H$9:$P$18, 8, FALSE)</f>
        <v>0</v>
      </c>
      <c r="I7" s="21">
        <f>VLOOKUP($A7, 'WW and FSM data'!$H$9:$P$18, 9, FALSE)</f>
        <v>0.6</v>
      </c>
      <c r="J7" s="16">
        <f t="shared" ref="J7:J13" si="5">+C7*D7</f>
        <v>0</v>
      </c>
      <c r="K7" s="16">
        <f t="shared" ref="K7:K13" si="6">+B7*(1-(F7+G7+H7))</f>
        <v>5.1240000000000006</v>
      </c>
      <c r="L7" s="26">
        <f t="shared" ref="L7:L13" si="7">+J7*K7</f>
        <v>0</v>
      </c>
      <c r="M7" s="16">
        <f>+L7*'Basic Data Input'!$K$26</f>
        <v>0</v>
      </c>
      <c r="N7" s="16">
        <f t="shared" si="0"/>
        <v>0</v>
      </c>
      <c r="O7" s="16">
        <f t="shared" si="1"/>
        <v>0</v>
      </c>
      <c r="P7" s="26">
        <f t="shared" si="2"/>
        <v>4.0992000000000006</v>
      </c>
      <c r="Q7" s="16"/>
    </row>
    <row r="8" spans="1:17">
      <c r="A8" s="310" t="s">
        <v>355</v>
      </c>
      <c r="B8" s="27">
        <f t="shared" si="3"/>
        <v>25.62</v>
      </c>
      <c r="C8" s="27">
        <f t="shared" si="4"/>
        <v>0</v>
      </c>
      <c r="D8" s="19">
        <f>VLOOKUP($A8, 'WW and FSM data'!$H$9:$P$18, 4, FALSE)</f>
        <v>6.25E-2</v>
      </c>
      <c r="E8" s="20">
        <f>VLOOKUP($A8, 'WW and FSM data'!$H$9:$P$18, 5, FALSE)</f>
        <v>90</v>
      </c>
      <c r="F8" s="21">
        <f>VLOOKUP($A8, 'WW and FSM data'!$H$9:$P$18, 6, FALSE)</f>
        <v>0</v>
      </c>
      <c r="G8" s="21">
        <f>VLOOKUP($A8, 'WW and FSM data'!$H$9:$P$18, 7, FALSE)</f>
        <v>0</v>
      </c>
      <c r="H8" s="21">
        <f>VLOOKUP($A8, 'WW and FSM data'!$H$9:$P$18, 8, FALSE)</f>
        <v>0</v>
      </c>
      <c r="I8" s="21">
        <f>VLOOKUP($A8, 'WW and FSM data'!$H$9:$P$18, 9, FALSE)</f>
        <v>0.5</v>
      </c>
      <c r="J8" s="16">
        <f t="shared" si="5"/>
        <v>0</v>
      </c>
      <c r="K8" s="16">
        <f t="shared" si="6"/>
        <v>25.62</v>
      </c>
      <c r="L8" s="26">
        <f t="shared" si="7"/>
        <v>0</v>
      </c>
      <c r="M8" s="16">
        <f>+L8*'Basic Data Input'!$K$26</f>
        <v>0</v>
      </c>
      <c r="N8" s="16">
        <f t="shared" si="0"/>
        <v>0</v>
      </c>
      <c r="O8" s="16">
        <f t="shared" si="1"/>
        <v>0</v>
      </c>
      <c r="P8" s="26">
        <f t="shared" si="2"/>
        <v>12.81</v>
      </c>
      <c r="Q8" s="16"/>
    </row>
    <row r="9" spans="1:17">
      <c r="A9" s="310" t="s">
        <v>366</v>
      </c>
      <c r="B9" s="27">
        <f t="shared" si="3"/>
        <v>0</v>
      </c>
      <c r="C9" s="27">
        <f t="shared" si="4"/>
        <v>0</v>
      </c>
      <c r="D9" s="19">
        <f>VLOOKUP($A9, 'WW and FSM data'!$H$9:$P$18, 4, FALSE)</f>
        <v>0</v>
      </c>
      <c r="E9" s="20">
        <f>VLOOKUP($A9, 'WW and FSM data'!$H$9:$P$18, 5, FALSE)</f>
        <v>0</v>
      </c>
      <c r="F9" s="21">
        <f>VLOOKUP($A9, 'WW and FSM data'!$H$9:$P$18, 6, FALSE)</f>
        <v>0</v>
      </c>
      <c r="G9" s="21">
        <f>VLOOKUP($A9, 'WW and FSM data'!$H$9:$P$18, 7, FALSE)</f>
        <v>0</v>
      </c>
      <c r="H9" s="21">
        <f>VLOOKUP($A9, 'WW and FSM data'!$H$9:$P$18, 8, FALSE)</f>
        <v>0</v>
      </c>
      <c r="I9" s="21">
        <f>VLOOKUP($A9, 'WW and FSM data'!$H$9:$P$18, 9, FALSE)</f>
        <v>0</v>
      </c>
      <c r="J9" s="16">
        <f t="shared" si="5"/>
        <v>0</v>
      </c>
      <c r="K9" s="16">
        <f t="shared" si="6"/>
        <v>0</v>
      </c>
      <c r="L9" s="26">
        <f t="shared" si="7"/>
        <v>0</v>
      </c>
      <c r="M9" s="16">
        <f>+L9*'Basic Data Input'!$K$26</f>
        <v>0</v>
      </c>
      <c r="N9" s="16">
        <f t="shared" si="0"/>
        <v>0</v>
      </c>
      <c r="O9" s="16">
        <f t="shared" si="1"/>
        <v>0</v>
      </c>
      <c r="P9" s="26">
        <f t="shared" si="2"/>
        <v>0</v>
      </c>
      <c r="Q9" s="16"/>
    </row>
    <row r="10" spans="1:17">
      <c r="A10" s="310" t="s">
        <v>366</v>
      </c>
      <c r="B10" s="27">
        <f t="shared" si="3"/>
        <v>0</v>
      </c>
      <c r="C10" s="27">
        <f t="shared" si="4"/>
        <v>0</v>
      </c>
      <c r="D10" s="19">
        <f>VLOOKUP($A10, 'WW and FSM data'!$H$9:$P$18, 4, FALSE)</f>
        <v>0</v>
      </c>
      <c r="E10" s="20">
        <f>VLOOKUP($A10, 'WW and FSM data'!$H$9:$P$18, 5, FALSE)</f>
        <v>0</v>
      </c>
      <c r="F10" s="21">
        <f>VLOOKUP($A10, 'WW and FSM data'!$H$9:$P$18, 6, FALSE)</f>
        <v>0</v>
      </c>
      <c r="G10" s="21">
        <f>VLOOKUP($A10, 'WW and FSM data'!$H$9:$P$18, 7, FALSE)</f>
        <v>0</v>
      </c>
      <c r="H10" s="21">
        <f>VLOOKUP($A10, 'WW and FSM data'!$H$9:$P$18, 8, FALSE)</f>
        <v>0</v>
      </c>
      <c r="I10" s="21">
        <f>VLOOKUP($A10, 'WW and FSM data'!$H$9:$P$18, 9, FALSE)</f>
        <v>0</v>
      </c>
      <c r="J10" s="16">
        <f t="shared" si="5"/>
        <v>0</v>
      </c>
      <c r="K10" s="16">
        <f t="shared" si="6"/>
        <v>0</v>
      </c>
      <c r="L10" s="26">
        <f t="shared" si="7"/>
        <v>0</v>
      </c>
      <c r="M10" s="16">
        <f>+L10*'Basic Data Input'!$K$26</f>
        <v>0</v>
      </c>
      <c r="N10" s="16">
        <f t="shared" si="0"/>
        <v>0</v>
      </c>
      <c r="O10" s="16">
        <f t="shared" si="1"/>
        <v>0</v>
      </c>
      <c r="P10" s="26">
        <f t="shared" si="2"/>
        <v>0</v>
      </c>
      <c r="Q10" s="16"/>
    </row>
    <row r="11" spans="1:17">
      <c r="A11" s="310" t="s">
        <v>366</v>
      </c>
      <c r="B11" s="27">
        <f t="shared" si="3"/>
        <v>0</v>
      </c>
      <c r="C11" s="27">
        <f t="shared" si="4"/>
        <v>0</v>
      </c>
      <c r="D11" s="19">
        <f>VLOOKUP($A11, 'WW and FSM data'!$H$9:$P$18, 4, FALSE)</f>
        <v>0</v>
      </c>
      <c r="E11" s="20">
        <f>VLOOKUP($A11, 'WW and FSM data'!$H$9:$P$18, 5, FALSE)</f>
        <v>0</v>
      </c>
      <c r="F11" s="21">
        <f>VLOOKUP($A11, 'WW and FSM data'!$H$9:$P$18, 6, FALSE)</f>
        <v>0</v>
      </c>
      <c r="G11" s="21">
        <f>VLOOKUP($A11, 'WW and FSM data'!$H$9:$P$18, 7, FALSE)</f>
        <v>0</v>
      </c>
      <c r="H11" s="21">
        <f>VLOOKUP($A11, 'WW and FSM data'!$H$9:$P$18, 8, FALSE)</f>
        <v>0</v>
      </c>
      <c r="I11" s="21">
        <f>VLOOKUP($A11, 'WW and FSM data'!$H$9:$P$18, 9, FALSE)</f>
        <v>0</v>
      </c>
      <c r="J11" s="16">
        <f t="shared" si="5"/>
        <v>0</v>
      </c>
      <c r="K11" s="16">
        <f t="shared" si="6"/>
        <v>0</v>
      </c>
      <c r="L11" s="26">
        <f t="shared" si="7"/>
        <v>0</v>
      </c>
      <c r="M11" s="16">
        <f>+L11*'Basic Data Input'!$K$26</f>
        <v>0</v>
      </c>
      <c r="N11" s="16">
        <f t="shared" si="0"/>
        <v>0</v>
      </c>
      <c r="O11" s="16">
        <f t="shared" si="1"/>
        <v>0</v>
      </c>
      <c r="P11" s="26">
        <f t="shared" si="2"/>
        <v>0</v>
      </c>
      <c r="Q11" s="16"/>
    </row>
    <row r="12" spans="1:17">
      <c r="A12" s="310" t="s">
        <v>366</v>
      </c>
      <c r="B12" s="27">
        <f t="shared" si="3"/>
        <v>0</v>
      </c>
      <c r="C12" s="27">
        <f t="shared" si="4"/>
        <v>0</v>
      </c>
      <c r="D12" s="19">
        <f>VLOOKUP($A12, 'WW and FSM data'!$H$9:$P$18, 4, FALSE)</f>
        <v>0</v>
      </c>
      <c r="E12" s="20">
        <f>VLOOKUP($A12, 'WW and FSM data'!$H$9:$P$18, 5, FALSE)</f>
        <v>0</v>
      </c>
      <c r="F12" s="21">
        <f>VLOOKUP($A12, 'WW and FSM data'!$H$9:$P$18, 6, FALSE)</f>
        <v>0</v>
      </c>
      <c r="G12" s="21">
        <f>VLOOKUP($A12, 'WW and FSM data'!$H$9:$P$18, 7, FALSE)</f>
        <v>0</v>
      </c>
      <c r="H12" s="21">
        <f>VLOOKUP($A12, 'WW and FSM data'!$H$9:$P$18, 8, FALSE)</f>
        <v>0</v>
      </c>
      <c r="I12" s="21">
        <f>VLOOKUP($A12, 'WW and FSM data'!$H$9:$P$18, 9, FALSE)</f>
        <v>0</v>
      </c>
      <c r="J12" s="16">
        <f t="shared" si="5"/>
        <v>0</v>
      </c>
      <c r="K12" s="16">
        <f t="shared" si="6"/>
        <v>0</v>
      </c>
      <c r="L12" s="26">
        <f t="shared" si="7"/>
        <v>0</v>
      </c>
      <c r="M12" s="16">
        <f>+L12*'Basic Data Input'!$K$26</f>
        <v>0</v>
      </c>
      <c r="N12" s="16">
        <f t="shared" si="0"/>
        <v>0</v>
      </c>
      <c r="O12" s="16">
        <f t="shared" si="1"/>
        <v>0</v>
      </c>
      <c r="P12" s="26">
        <f t="shared" si="2"/>
        <v>0</v>
      </c>
      <c r="Q12" s="16"/>
    </row>
    <row r="13" spans="1:17">
      <c r="A13" s="310" t="s">
        <v>366</v>
      </c>
      <c r="B13" s="27">
        <f t="shared" si="3"/>
        <v>0</v>
      </c>
      <c r="C13" s="27">
        <f t="shared" si="4"/>
        <v>0</v>
      </c>
      <c r="D13" s="19">
        <f>VLOOKUP($A13, 'WW and FSM data'!$H$9:$P$18, 4, FALSE)</f>
        <v>0</v>
      </c>
      <c r="E13" s="20">
        <f>VLOOKUP($A13, 'WW and FSM data'!$H$9:$P$18, 5, FALSE)</f>
        <v>0</v>
      </c>
      <c r="F13" s="21">
        <f>VLOOKUP($A13, 'WW and FSM data'!$H$9:$P$18, 6, FALSE)</f>
        <v>0</v>
      </c>
      <c r="G13" s="21">
        <f>VLOOKUP($A13, 'WW and FSM data'!$H$9:$P$18, 7, FALSE)</f>
        <v>0</v>
      </c>
      <c r="H13" s="21">
        <f>VLOOKUP($A13, 'WW and FSM data'!$H$9:$P$18, 8, FALSE)</f>
        <v>0</v>
      </c>
      <c r="I13" s="21">
        <f>VLOOKUP($A13, 'WW and FSM data'!$H$9:$P$18, 9, FALSE)</f>
        <v>0</v>
      </c>
      <c r="J13" s="16">
        <f t="shared" si="5"/>
        <v>0</v>
      </c>
      <c r="K13" s="16">
        <f t="shared" si="6"/>
        <v>0</v>
      </c>
      <c r="L13" s="26">
        <f t="shared" si="7"/>
        <v>0</v>
      </c>
      <c r="M13" s="16">
        <f>+L13*'Basic Data Input'!$K$26</f>
        <v>0</v>
      </c>
      <c r="N13" s="16">
        <f t="shared" si="0"/>
        <v>0</v>
      </c>
      <c r="O13" s="16">
        <f t="shared" si="1"/>
        <v>0</v>
      </c>
      <c r="P13" s="26">
        <f t="shared" si="2"/>
        <v>0</v>
      </c>
      <c r="Q13" s="16"/>
    </row>
    <row r="14" spans="1:17">
      <c r="A14" s="15" t="s">
        <v>405</v>
      </c>
      <c r="B14" s="4"/>
      <c r="C14" s="4"/>
      <c r="D14" s="19"/>
      <c r="E14" s="19"/>
      <c r="F14" s="19"/>
      <c r="G14" s="19"/>
      <c r="H14" s="19"/>
      <c r="I14" s="19"/>
      <c r="J14" s="19"/>
      <c r="K14" s="19"/>
      <c r="L14" s="16"/>
      <c r="M14" s="16"/>
      <c r="N14" s="16"/>
      <c r="O14" s="16"/>
      <c r="P14" s="16"/>
      <c r="Q14" s="16"/>
    </row>
    <row r="15" spans="1:17">
      <c r="A15" s="15" t="s">
        <v>406</v>
      </c>
      <c r="B15" s="19"/>
      <c r="C15" s="19"/>
      <c r="D15" s="19"/>
      <c r="E15" s="19"/>
      <c r="F15" s="19"/>
      <c r="G15" s="19"/>
      <c r="H15" s="19"/>
      <c r="I15" s="19"/>
      <c r="J15" s="19"/>
      <c r="K15" s="19"/>
      <c r="L15" s="29">
        <f>SUM(L6:L13)</f>
        <v>0</v>
      </c>
      <c r="M15" s="191">
        <f>SUM(M6:M13)</f>
        <v>0</v>
      </c>
      <c r="N15" s="32">
        <f>SUM(N6:N13)</f>
        <v>0</v>
      </c>
      <c r="O15" s="19" t="s">
        <v>407</v>
      </c>
      <c r="P15" s="19"/>
      <c r="Q15" s="19"/>
    </row>
    <row r="16" spans="1:17">
      <c r="A16" s="34" t="s">
        <v>408</v>
      </c>
      <c r="B16" s="19"/>
      <c r="C16" s="19"/>
      <c r="D16" s="19"/>
      <c r="E16" s="19"/>
      <c r="F16" s="19"/>
      <c r="G16" s="19"/>
      <c r="H16" s="19"/>
      <c r="I16" s="19"/>
      <c r="J16" s="19"/>
      <c r="K16" s="19"/>
      <c r="L16" s="19"/>
      <c r="M16" s="19"/>
      <c r="N16" s="19"/>
      <c r="O16" s="19"/>
      <c r="P16" s="19"/>
      <c r="Q16" s="19"/>
    </row>
    <row r="17" spans="1:17">
      <c r="A17" s="15"/>
      <c r="B17" s="19"/>
      <c r="C17" s="19"/>
      <c r="D17" s="19"/>
      <c r="E17" s="19"/>
      <c r="F17" s="19"/>
      <c r="G17" s="19"/>
      <c r="H17" s="19"/>
      <c r="I17" s="19"/>
      <c r="J17" s="19"/>
      <c r="K17" s="19"/>
      <c r="L17" s="19"/>
      <c r="M17" s="19"/>
      <c r="N17" s="19"/>
      <c r="O17" s="19"/>
      <c r="P17" s="19"/>
      <c r="Q17" s="19"/>
    </row>
    <row r="19" spans="1:17">
      <c r="A19" s="14" t="s">
        <v>334</v>
      </c>
      <c r="B19" s="14" t="s">
        <v>409</v>
      </c>
      <c r="C19" s="15"/>
      <c r="D19" s="33">
        <f>+'Basic Data Input'!L7/'Basic Data Input'!K16</f>
        <v>165000</v>
      </c>
      <c r="E19" s="14"/>
      <c r="F19" s="15"/>
      <c r="G19" s="17"/>
      <c r="H19" s="17"/>
      <c r="I19" s="17"/>
      <c r="J19" s="17"/>
      <c r="K19" s="17"/>
      <c r="L19" s="17"/>
      <c r="M19" s="17"/>
      <c r="N19" s="17"/>
      <c r="O19" s="17"/>
      <c r="P19" s="17"/>
      <c r="Q19" s="17"/>
    </row>
    <row r="20" spans="1:17">
      <c r="A20" s="15"/>
      <c r="B20" s="14" t="s">
        <v>386</v>
      </c>
      <c r="C20" s="15"/>
      <c r="D20" s="15">
        <f>+'WW and FSM data'!I4</f>
        <v>25.62</v>
      </c>
      <c r="E20" s="14" t="s">
        <v>332</v>
      </c>
      <c r="F20" s="15"/>
      <c r="G20" s="17"/>
      <c r="H20" s="17"/>
      <c r="I20" s="17"/>
      <c r="J20" s="17"/>
      <c r="K20" s="17"/>
      <c r="L20" s="17"/>
      <c r="M20" s="17"/>
      <c r="N20" s="17"/>
      <c r="O20" s="17"/>
      <c r="P20" s="17"/>
      <c r="Q20" s="17"/>
    </row>
    <row r="21" spans="1:17">
      <c r="A21" s="15"/>
      <c r="B21" s="14"/>
      <c r="C21" s="15"/>
      <c r="D21" s="15">
        <f>+D20/365</f>
        <v>7.0191780821917807E-2</v>
      </c>
      <c r="E21" s="14" t="s">
        <v>387</v>
      </c>
      <c r="F21" s="15"/>
      <c r="G21" s="17"/>
      <c r="H21" s="17"/>
      <c r="I21" s="17"/>
      <c r="J21" s="17"/>
      <c r="K21" s="17"/>
      <c r="L21" s="17"/>
      <c r="M21" s="17"/>
      <c r="N21" s="17"/>
      <c r="O21" s="17"/>
      <c r="P21" s="17"/>
      <c r="Q21" s="17"/>
    </row>
    <row r="22" spans="1:17" ht="13.15" customHeight="1">
      <c r="A22" s="18" t="s">
        <v>410</v>
      </c>
      <c r="B22" s="14" t="s">
        <v>389</v>
      </c>
      <c r="C22" s="14" t="s">
        <v>411</v>
      </c>
      <c r="D22" s="22" t="s">
        <v>36</v>
      </c>
      <c r="E22" s="7" t="s">
        <v>391</v>
      </c>
      <c r="F22" s="7" t="s">
        <v>392</v>
      </c>
      <c r="G22" s="7" t="s">
        <v>393</v>
      </c>
      <c r="H22" s="7" t="s">
        <v>394</v>
      </c>
      <c r="I22" s="437" t="s">
        <v>412</v>
      </c>
      <c r="J22" s="11" t="s">
        <v>396</v>
      </c>
      <c r="K22" s="11" t="s">
        <v>413</v>
      </c>
      <c r="L22" s="7" t="s">
        <v>398</v>
      </c>
      <c r="M22" s="437" t="s">
        <v>399</v>
      </c>
      <c r="N22" s="437" t="s">
        <v>414</v>
      </c>
      <c r="O22" s="437" t="s">
        <v>401</v>
      </c>
      <c r="P22" s="437" t="s">
        <v>402</v>
      </c>
      <c r="Q22" s="14"/>
    </row>
    <row r="23" spans="1:17" ht="21">
      <c r="A23" s="316"/>
      <c r="B23" s="24" t="s">
        <v>332</v>
      </c>
      <c r="C23" s="14"/>
      <c r="D23" s="23" t="s">
        <v>403</v>
      </c>
      <c r="E23" s="7" t="s">
        <v>349</v>
      </c>
      <c r="F23" s="7" t="s">
        <v>1</v>
      </c>
      <c r="G23" s="7" t="s">
        <v>1</v>
      </c>
      <c r="H23" s="7" t="s">
        <v>1</v>
      </c>
      <c r="I23" s="437"/>
      <c r="J23" s="11"/>
      <c r="K23" s="11"/>
      <c r="L23" s="8" t="s">
        <v>404</v>
      </c>
      <c r="M23" s="437"/>
      <c r="N23" s="437"/>
      <c r="O23" s="437"/>
      <c r="P23" s="437"/>
      <c r="Q23" s="14"/>
    </row>
    <row r="24" spans="1:17">
      <c r="A24" s="310" t="s">
        <v>356</v>
      </c>
      <c r="B24" s="15">
        <f>+D20</f>
        <v>25.62</v>
      </c>
      <c r="C24" s="31">
        <f>+D19</f>
        <v>165000</v>
      </c>
      <c r="D24" s="19">
        <f>VLOOKUP($A24, 'WW and FSM data'!$H$9:$P$18, 4, FALSE)</f>
        <v>0.22500000000000001</v>
      </c>
      <c r="E24" s="20">
        <f>VLOOKUP($A24, 'WW and FSM data'!$H$9:$P$18, 5, FALSE)</f>
        <v>15</v>
      </c>
      <c r="F24" s="21">
        <f>VLOOKUP($A24, 'WW and FSM data'!$H$9:$P$18, 6, FALSE)</f>
        <v>0</v>
      </c>
      <c r="G24" s="21">
        <v>0.2</v>
      </c>
      <c r="H24" s="21">
        <f>VLOOKUP($A24, 'WW and FSM data'!$H$9:$P$18, 8, FALSE)</f>
        <v>0</v>
      </c>
      <c r="I24" s="21">
        <f>VLOOKUP($A24, 'WW and FSM data'!$H$9:$P$18, 9, FALSE)</f>
        <v>0.6</v>
      </c>
      <c r="J24" s="16">
        <f>+C24*D24</f>
        <v>37125</v>
      </c>
      <c r="K24" s="16">
        <f>+B24*(1-(F24+G24+H24))</f>
        <v>20.496000000000002</v>
      </c>
      <c r="L24" s="16">
        <f t="shared" ref="L24:L31" si="8">+((B24+P24)/2)*C24*D24</f>
        <v>665799.75</v>
      </c>
      <c r="M24" s="16">
        <f>+L24*'Basic Data Input'!$K$26</f>
        <v>22637191.5</v>
      </c>
      <c r="N24" s="16">
        <f>+C24*G24</f>
        <v>33000</v>
      </c>
      <c r="O24" s="16">
        <f t="shared" ref="O24:O31" si="9">+C24-N24</f>
        <v>132000</v>
      </c>
      <c r="P24" s="26">
        <f t="shared" ref="P24:P31" si="10">+B24*(1-I24)</f>
        <v>10.248000000000001</v>
      </c>
      <c r="Q24" s="16"/>
    </row>
    <row r="25" spans="1:17">
      <c r="A25" s="310" t="s">
        <v>355</v>
      </c>
      <c r="B25" s="27">
        <f t="shared" ref="B25:B31" si="11">IF(ISNUMBER(SEARCH("Bla", A25)), 0, P24)</f>
        <v>10.248000000000001</v>
      </c>
      <c r="C25" s="25">
        <f t="shared" ref="C25:C31" si="12">IF(ISNUMBER(SEARCH("Bla", A25)), 0, O24)</f>
        <v>132000</v>
      </c>
      <c r="D25" s="19">
        <f>VLOOKUP($A25, 'WW and FSM data'!$H$9:$P$18, 4, FALSE)</f>
        <v>6.25E-2</v>
      </c>
      <c r="E25" s="20">
        <f>VLOOKUP($A25, 'WW and FSM data'!$H$9:$P$18, 5, FALSE)</f>
        <v>90</v>
      </c>
      <c r="F25" s="21">
        <f>VLOOKUP($A25, 'WW and FSM data'!$H$9:$P$18, 6, FALSE)</f>
        <v>0</v>
      </c>
      <c r="G25" s="21">
        <f>VLOOKUP($A25, 'WW and FSM data'!$H$9:$P$18, 7, FALSE)</f>
        <v>0</v>
      </c>
      <c r="H25" s="21">
        <f>VLOOKUP($A25, 'WW and FSM data'!$H$9:$P$18, 8, FALSE)</f>
        <v>0</v>
      </c>
      <c r="I25" s="21">
        <f>VLOOKUP($A25, 'WW and FSM data'!$H$9:$P$18, 9, FALSE)</f>
        <v>0.5</v>
      </c>
      <c r="J25" s="16">
        <f t="shared" ref="J25:J31" si="13">+C25*D25</f>
        <v>8250</v>
      </c>
      <c r="K25" s="16">
        <f t="shared" ref="K25:K31" si="14">+B25*(1-(F25+G25+H25))</f>
        <v>10.248000000000001</v>
      </c>
      <c r="L25" s="16">
        <f t="shared" si="8"/>
        <v>63409.500000000007</v>
      </c>
      <c r="M25" s="16">
        <f>+L25*'Basic Data Input'!$K$26</f>
        <v>2155923.0000000005</v>
      </c>
      <c r="N25" s="16">
        <f t="shared" ref="N25:N31" si="15">+C25*F25</f>
        <v>0</v>
      </c>
      <c r="O25" s="16">
        <f t="shared" si="9"/>
        <v>132000</v>
      </c>
      <c r="P25" s="26">
        <f t="shared" si="10"/>
        <v>5.1240000000000006</v>
      </c>
      <c r="Q25" s="16"/>
    </row>
    <row r="26" spans="1:17">
      <c r="A26" s="310" t="s">
        <v>358</v>
      </c>
      <c r="B26" s="27">
        <f t="shared" si="11"/>
        <v>5.1240000000000006</v>
      </c>
      <c r="C26" s="25">
        <f t="shared" si="12"/>
        <v>132000</v>
      </c>
      <c r="D26" s="19">
        <f>VLOOKUP($A26, 'WW and FSM data'!$H$9:$P$18, 4, FALSE)</f>
        <v>6.25E-2</v>
      </c>
      <c r="E26" s="20">
        <f>VLOOKUP($A26, 'WW and FSM data'!$H$9:$P$18, 5, FALSE)</f>
        <v>60</v>
      </c>
      <c r="F26" s="21">
        <f>VLOOKUP($A26, 'WW and FSM data'!$H$9:$P$18, 6, FALSE)</f>
        <v>0</v>
      </c>
      <c r="G26" s="21">
        <f>VLOOKUP($A26, 'WW and FSM data'!$H$9:$P$18, 7, FALSE)</f>
        <v>0</v>
      </c>
      <c r="H26" s="21">
        <f>VLOOKUP($A26, 'WW and FSM data'!$H$9:$P$18, 8, FALSE)</f>
        <v>0</v>
      </c>
      <c r="I26" s="21">
        <f>VLOOKUP($A26, 'WW and FSM data'!$H$9:$P$18, 9, FALSE)</f>
        <v>0.7</v>
      </c>
      <c r="J26" s="16">
        <f t="shared" si="13"/>
        <v>8250</v>
      </c>
      <c r="K26" s="16">
        <f t="shared" si="14"/>
        <v>5.1240000000000006</v>
      </c>
      <c r="L26" s="16">
        <f t="shared" si="8"/>
        <v>27477.450000000004</v>
      </c>
      <c r="M26" s="16">
        <f>+L26*'Basic Data Input'!$K$26</f>
        <v>934233.30000000016</v>
      </c>
      <c r="N26" s="16">
        <f t="shared" si="15"/>
        <v>0</v>
      </c>
      <c r="O26" s="16">
        <f t="shared" si="9"/>
        <v>132000</v>
      </c>
      <c r="P26" s="26">
        <f t="shared" si="10"/>
        <v>1.5372000000000003</v>
      </c>
      <c r="Q26" s="16"/>
    </row>
    <row r="27" spans="1:17">
      <c r="A27" s="310" t="s">
        <v>366</v>
      </c>
      <c r="B27" s="27">
        <f t="shared" si="11"/>
        <v>0</v>
      </c>
      <c r="C27" s="25">
        <f t="shared" si="12"/>
        <v>0</v>
      </c>
      <c r="D27" s="19">
        <f>VLOOKUP($A27, 'WW and FSM data'!$H$9:$P$18, 4, FALSE)</f>
        <v>0</v>
      </c>
      <c r="E27" s="20">
        <f>VLOOKUP($A27, 'WW and FSM data'!$H$9:$P$18, 5, FALSE)</f>
        <v>0</v>
      </c>
      <c r="F27" s="21">
        <f>VLOOKUP($A27, 'WW and FSM data'!$H$9:$P$18, 6, FALSE)</f>
        <v>0</v>
      </c>
      <c r="G27" s="21">
        <f>VLOOKUP($A27, 'WW and FSM data'!$H$9:$P$18, 7, FALSE)</f>
        <v>0</v>
      </c>
      <c r="H27" s="21">
        <f>VLOOKUP($A27, 'WW and FSM data'!$H$9:$P$18, 8, FALSE)</f>
        <v>0</v>
      </c>
      <c r="I27" s="21">
        <f>VLOOKUP($A27, 'WW and FSM data'!$H$9:$P$18, 9, FALSE)</f>
        <v>0</v>
      </c>
      <c r="J27" s="16">
        <f t="shared" si="13"/>
        <v>0</v>
      </c>
      <c r="K27" s="16">
        <f t="shared" si="14"/>
        <v>0</v>
      </c>
      <c r="L27" s="16">
        <f t="shared" si="8"/>
        <v>0</v>
      </c>
      <c r="M27" s="16">
        <f>+L27*'Basic Data Input'!$K$26</f>
        <v>0</v>
      </c>
      <c r="N27" s="16">
        <f t="shared" si="15"/>
        <v>0</v>
      </c>
      <c r="O27" s="16">
        <f t="shared" si="9"/>
        <v>0</v>
      </c>
      <c r="P27" s="26">
        <f t="shared" si="10"/>
        <v>0</v>
      </c>
      <c r="Q27" s="16"/>
    </row>
    <row r="28" spans="1:17">
      <c r="A28" s="310" t="s">
        <v>366</v>
      </c>
      <c r="B28" s="27">
        <f t="shared" si="11"/>
        <v>0</v>
      </c>
      <c r="C28" s="25">
        <f t="shared" si="12"/>
        <v>0</v>
      </c>
      <c r="D28" s="19">
        <f>VLOOKUP($A28, 'WW and FSM data'!$H$9:$P$18, 4, FALSE)</f>
        <v>0</v>
      </c>
      <c r="E28" s="20">
        <f>VLOOKUP($A28, 'WW and FSM data'!$H$9:$P$18, 5, FALSE)</f>
        <v>0</v>
      </c>
      <c r="F28" s="21">
        <f>VLOOKUP($A28, 'WW and FSM data'!$H$9:$P$18, 6, FALSE)</f>
        <v>0</v>
      </c>
      <c r="G28" s="21">
        <f>VLOOKUP($A28, 'WW and FSM data'!$H$9:$P$18, 7, FALSE)</f>
        <v>0</v>
      </c>
      <c r="H28" s="21">
        <f>VLOOKUP($A28, 'WW and FSM data'!$H$9:$P$18, 8, FALSE)</f>
        <v>0</v>
      </c>
      <c r="I28" s="21">
        <f>VLOOKUP($A28, 'WW and FSM data'!$H$9:$P$18, 9, FALSE)</f>
        <v>0</v>
      </c>
      <c r="J28" s="16">
        <f t="shared" si="13"/>
        <v>0</v>
      </c>
      <c r="K28" s="16">
        <f t="shared" si="14"/>
        <v>0</v>
      </c>
      <c r="L28" s="16">
        <f t="shared" si="8"/>
        <v>0</v>
      </c>
      <c r="M28" s="16">
        <f>+L28*'Basic Data Input'!$K$26</f>
        <v>0</v>
      </c>
      <c r="N28" s="16">
        <f t="shared" si="15"/>
        <v>0</v>
      </c>
      <c r="O28" s="16">
        <f t="shared" si="9"/>
        <v>0</v>
      </c>
      <c r="P28" s="26">
        <f t="shared" si="10"/>
        <v>0</v>
      </c>
      <c r="Q28" s="16"/>
    </row>
    <row r="29" spans="1:17">
      <c r="A29" s="310" t="s">
        <v>366</v>
      </c>
      <c r="B29" s="27">
        <f t="shared" si="11"/>
        <v>0</v>
      </c>
      <c r="C29" s="25">
        <f t="shared" si="12"/>
        <v>0</v>
      </c>
      <c r="D29" s="19">
        <f>VLOOKUP($A29, 'WW and FSM data'!$H$9:$P$18, 4, FALSE)</f>
        <v>0</v>
      </c>
      <c r="E29" s="20">
        <f>VLOOKUP($A29, 'WW and FSM data'!$H$9:$P$18, 5, FALSE)</f>
        <v>0</v>
      </c>
      <c r="F29" s="21">
        <f>VLOOKUP($A29, 'WW and FSM data'!$H$9:$P$18, 6, FALSE)</f>
        <v>0</v>
      </c>
      <c r="G29" s="21">
        <f>VLOOKUP($A29, 'WW and FSM data'!$H$9:$P$18, 7, FALSE)</f>
        <v>0</v>
      </c>
      <c r="H29" s="21">
        <f>VLOOKUP($A29, 'WW and FSM data'!$H$9:$P$18, 8, FALSE)</f>
        <v>0</v>
      </c>
      <c r="I29" s="21">
        <f>VLOOKUP($A29, 'WW and FSM data'!$H$9:$P$18, 9, FALSE)</f>
        <v>0</v>
      </c>
      <c r="J29" s="16">
        <f t="shared" si="13"/>
        <v>0</v>
      </c>
      <c r="K29" s="16">
        <f t="shared" si="14"/>
        <v>0</v>
      </c>
      <c r="L29" s="16">
        <f t="shared" si="8"/>
        <v>0</v>
      </c>
      <c r="M29" s="16">
        <f>+L29*'Basic Data Input'!$K$26</f>
        <v>0</v>
      </c>
      <c r="N29" s="16">
        <f t="shared" si="15"/>
        <v>0</v>
      </c>
      <c r="O29" s="16">
        <f t="shared" si="9"/>
        <v>0</v>
      </c>
      <c r="P29" s="26">
        <f t="shared" si="10"/>
        <v>0</v>
      </c>
      <c r="Q29" s="16"/>
    </row>
    <row r="30" spans="1:17">
      <c r="A30" s="310" t="s">
        <v>366</v>
      </c>
      <c r="B30" s="27">
        <f t="shared" si="11"/>
        <v>0</v>
      </c>
      <c r="C30" s="25">
        <f t="shared" si="12"/>
        <v>0</v>
      </c>
      <c r="D30" s="19">
        <f>VLOOKUP($A30, 'WW and FSM data'!$H$9:$P$18, 4, FALSE)</f>
        <v>0</v>
      </c>
      <c r="E30" s="20">
        <f>VLOOKUP($A30, 'WW and FSM data'!$H$9:$P$18, 5, FALSE)</f>
        <v>0</v>
      </c>
      <c r="F30" s="21">
        <f>VLOOKUP($A30, 'WW and FSM data'!$H$9:$P$18, 6, FALSE)</f>
        <v>0</v>
      </c>
      <c r="G30" s="21">
        <f>VLOOKUP($A30, 'WW and FSM data'!$H$9:$P$18, 7, FALSE)</f>
        <v>0</v>
      </c>
      <c r="H30" s="21">
        <f>VLOOKUP($A30, 'WW and FSM data'!$H$9:$P$18, 8, FALSE)</f>
        <v>0</v>
      </c>
      <c r="I30" s="21">
        <f>VLOOKUP($A30, 'WW and FSM data'!$H$9:$P$18, 9, FALSE)</f>
        <v>0</v>
      </c>
      <c r="J30" s="16">
        <f t="shared" si="13"/>
        <v>0</v>
      </c>
      <c r="K30" s="16">
        <f t="shared" si="14"/>
        <v>0</v>
      </c>
      <c r="L30" s="16">
        <f t="shared" si="8"/>
        <v>0</v>
      </c>
      <c r="M30" s="16">
        <f>+L30*'Basic Data Input'!$K$26</f>
        <v>0</v>
      </c>
      <c r="N30" s="16">
        <f t="shared" si="15"/>
        <v>0</v>
      </c>
      <c r="O30" s="16">
        <f t="shared" si="9"/>
        <v>0</v>
      </c>
      <c r="P30" s="26">
        <f t="shared" si="10"/>
        <v>0</v>
      </c>
      <c r="Q30" s="16"/>
    </row>
    <row r="31" spans="1:17">
      <c r="A31" s="310" t="s">
        <v>366</v>
      </c>
      <c r="B31" s="27">
        <f t="shared" si="11"/>
        <v>0</v>
      </c>
      <c r="C31" s="25">
        <f t="shared" si="12"/>
        <v>0</v>
      </c>
      <c r="D31" s="19">
        <f>VLOOKUP($A31, 'WW and FSM data'!$H$9:$P$18, 4, FALSE)</f>
        <v>0</v>
      </c>
      <c r="E31" s="20">
        <f>VLOOKUP($A31, 'WW and FSM data'!$H$9:$P$18, 5, FALSE)</f>
        <v>0</v>
      </c>
      <c r="F31" s="21">
        <f>VLOOKUP($A31, 'WW and FSM data'!$H$9:$P$18, 6, FALSE)</f>
        <v>0</v>
      </c>
      <c r="G31" s="21">
        <f>VLOOKUP($A31, 'WW and FSM data'!$H$9:$P$18, 7, FALSE)</f>
        <v>0</v>
      </c>
      <c r="H31" s="21">
        <f>VLOOKUP($A31, 'WW and FSM data'!$H$9:$P$18, 8, FALSE)</f>
        <v>0</v>
      </c>
      <c r="I31" s="21">
        <f>VLOOKUP($A31, 'WW and FSM data'!$H$9:$P$18, 9, FALSE)</f>
        <v>0</v>
      </c>
      <c r="J31" s="16">
        <f t="shared" si="13"/>
        <v>0</v>
      </c>
      <c r="K31" s="16">
        <f t="shared" si="14"/>
        <v>0</v>
      </c>
      <c r="L31" s="16">
        <f t="shared" si="8"/>
        <v>0</v>
      </c>
      <c r="M31" s="16">
        <f>+L31*'Basic Data Input'!$K$26</f>
        <v>0</v>
      </c>
      <c r="N31" s="16">
        <f t="shared" si="15"/>
        <v>0</v>
      </c>
      <c r="O31" s="16">
        <f t="shared" si="9"/>
        <v>0</v>
      </c>
      <c r="P31" s="26">
        <f t="shared" si="10"/>
        <v>0</v>
      </c>
      <c r="Q31" s="16"/>
    </row>
    <row r="32" spans="1:17">
      <c r="A32" s="15"/>
      <c r="B32" s="19"/>
      <c r="C32" s="19"/>
      <c r="D32" s="19"/>
      <c r="E32" s="19"/>
      <c r="F32" s="19"/>
      <c r="G32" s="19"/>
      <c r="H32" s="19"/>
      <c r="I32" s="19"/>
      <c r="J32" s="19"/>
      <c r="K32" s="19"/>
      <c r="L32" s="16"/>
      <c r="M32" s="16"/>
      <c r="N32" s="16"/>
      <c r="O32" s="16"/>
      <c r="P32" s="16"/>
      <c r="Q32" s="19"/>
    </row>
    <row r="33" spans="1:17">
      <c r="A33" s="15" t="s">
        <v>415</v>
      </c>
      <c r="B33" s="19"/>
      <c r="C33" s="19"/>
      <c r="D33" s="19"/>
      <c r="E33" s="19"/>
      <c r="F33" s="19"/>
      <c r="G33" s="19"/>
      <c r="H33" s="19"/>
      <c r="I33" s="19"/>
      <c r="J33" s="19"/>
      <c r="K33" s="19"/>
      <c r="L33" s="29">
        <f>SUM(L24:L31)</f>
        <v>756686.7</v>
      </c>
      <c r="M33" s="191">
        <f>SUM(M24:M31)</f>
        <v>25727347.800000001</v>
      </c>
      <c r="N33" s="32">
        <f>SUM(N24:N31)</f>
        <v>33000</v>
      </c>
      <c r="O33" s="19" t="s">
        <v>416</v>
      </c>
      <c r="P33" s="19"/>
      <c r="Q33" s="19"/>
    </row>
    <row r="34" spans="1:17">
      <c r="A34" s="15"/>
      <c r="B34" s="19"/>
      <c r="C34" s="19"/>
      <c r="D34" s="19"/>
      <c r="E34" s="19"/>
      <c r="F34" s="19"/>
      <c r="G34" s="19"/>
      <c r="H34" s="19"/>
      <c r="I34" s="19"/>
      <c r="J34" s="19"/>
      <c r="K34" s="19"/>
      <c r="L34" s="19"/>
      <c r="M34" s="19"/>
      <c r="N34" s="19"/>
      <c r="O34" s="19"/>
      <c r="P34" s="19"/>
      <c r="Q34" s="19"/>
    </row>
    <row r="35" spans="1:17">
      <c r="A35" s="4"/>
      <c r="B35" s="9"/>
      <c r="C35" s="9"/>
      <c r="D35" s="9"/>
      <c r="E35" s="9"/>
      <c r="F35" s="9"/>
      <c r="G35" s="9"/>
      <c r="H35" s="9"/>
      <c r="I35" s="9"/>
      <c r="J35" s="9"/>
      <c r="K35" s="9"/>
      <c r="L35" s="19"/>
      <c r="M35" s="19"/>
      <c r="N35" s="19"/>
      <c r="O35" s="19"/>
      <c r="P35" s="19"/>
      <c r="Q35" s="9"/>
    </row>
  </sheetData>
  <mergeCells count="11">
    <mergeCell ref="P4:P5"/>
    <mergeCell ref="P22:P23"/>
    <mergeCell ref="C4:C5"/>
    <mergeCell ref="O22:O23"/>
    <mergeCell ref="O4:O5"/>
    <mergeCell ref="M4:M5"/>
    <mergeCell ref="M22:M23"/>
    <mergeCell ref="N4:N5"/>
    <mergeCell ref="I4:I5"/>
    <mergeCell ref="I22:I23"/>
    <mergeCell ref="N22:N2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'WW and FSM data'!$H$9:$H$18</xm:f>
          </x14:formula1>
          <xm:sqref>A6:A13 A24:A31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Q35"/>
  <sheetViews>
    <sheetView zoomScale="110" zoomScaleNormal="110" workbookViewId="0">
      <selection activeCell="H6" sqref="H6:H13"/>
    </sheetView>
  </sheetViews>
  <sheetFormatPr defaultRowHeight="12.6"/>
  <cols>
    <col min="1" max="1" width="18" customWidth="1"/>
    <col min="2" max="2" width="11.7109375" customWidth="1"/>
    <col min="4" max="4" width="11.42578125" bestFit="1" customWidth="1"/>
    <col min="7" max="7" width="11.42578125" bestFit="1" customWidth="1"/>
    <col min="12" max="12" width="10" bestFit="1" customWidth="1"/>
    <col min="13" max="13" width="14.28515625" customWidth="1"/>
  </cols>
  <sheetData>
    <row r="1" spans="1:17">
      <c r="A1" s="14" t="s">
        <v>384</v>
      </c>
      <c r="B1" s="14" t="s">
        <v>385</v>
      </c>
      <c r="C1" s="15"/>
      <c r="D1" s="16">
        <f>+'Basic Data Input'!L5*'WW and FSM data'!C27</f>
        <v>36000</v>
      </c>
      <c r="E1" s="15"/>
      <c r="F1" s="15"/>
      <c r="G1" s="17"/>
      <c r="H1" s="17"/>
      <c r="I1" s="17"/>
      <c r="J1" s="17"/>
      <c r="K1" s="17"/>
      <c r="L1" s="17"/>
      <c r="M1" s="17"/>
      <c r="N1" s="17"/>
      <c r="O1" s="17"/>
      <c r="P1" s="17"/>
      <c r="Q1" s="17"/>
    </row>
    <row r="2" spans="1:17">
      <c r="A2" s="15"/>
      <c r="B2" s="14" t="s">
        <v>386</v>
      </c>
      <c r="C2" s="15"/>
      <c r="D2" s="15">
        <f>+'WW and FSM data'!I3</f>
        <v>25.62</v>
      </c>
      <c r="E2" s="14" t="s">
        <v>332</v>
      </c>
      <c r="F2" s="15"/>
      <c r="G2" s="17"/>
      <c r="H2" s="17"/>
      <c r="I2" s="17"/>
      <c r="J2" s="17"/>
      <c r="K2" s="17"/>
      <c r="L2" s="17"/>
      <c r="M2" s="17"/>
      <c r="N2" s="17"/>
      <c r="O2" s="17"/>
      <c r="P2" s="17"/>
      <c r="Q2" s="17"/>
    </row>
    <row r="3" spans="1:17">
      <c r="A3" s="15"/>
      <c r="B3" s="14"/>
      <c r="C3" s="15"/>
      <c r="D3" s="15">
        <f>+D2/365</f>
        <v>7.0191780821917807E-2</v>
      </c>
      <c r="E3" s="14" t="s">
        <v>387</v>
      </c>
      <c r="F3" s="15"/>
      <c r="G3" s="17"/>
      <c r="H3" s="17"/>
      <c r="I3" s="17"/>
      <c r="J3" s="17"/>
      <c r="K3" s="17"/>
      <c r="L3" s="17"/>
      <c r="M3" s="17"/>
      <c r="N3" s="17"/>
      <c r="O3" s="17"/>
      <c r="P3" s="17"/>
      <c r="Q3" s="17"/>
    </row>
    <row r="4" spans="1:17" ht="13.15" customHeight="1">
      <c r="A4" s="15" t="s">
        <v>388</v>
      </c>
      <c r="B4" s="14" t="s">
        <v>389</v>
      </c>
      <c r="C4" s="437" t="s">
        <v>390</v>
      </c>
      <c r="D4" s="22" t="s">
        <v>36</v>
      </c>
      <c r="E4" s="7" t="s">
        <v>391</v>
      </c>
      <c r="F4" s="30" t="s">
        <v>392</v>
      </c>
      <c r="G4" s="7" t="s">
        <v>393</v>
      </c>
      <c r="H4" s="7" t="s">
        <v>394</v>
      </c>
      <c r="I4" s="437" t="s">
        <v>395</v>
      </c>
      <c r="J4" s="11" t="s">
        <v>396</v>
      </c>
      <c r="K4" s="11" t="s">
        <v>397</v>
      </c>
      <c r="L4" s="7" t="s">
        <v>398</v>
      </c>
      <c r="M4" s="437" t="s">
        <v>399</v>
      </c>
      <c r="N4" s="437" t="s">
        <v>400</v>
      </c>
      <c r="O4" s="437" t="s">
        <v>401</v>
      </c>
      <c r="P4" s="437" t="s">
        <v>402</v>
      </c>
      <c r="Q4" s="14"/>
    </row>
    <row r="5" spans="1:17" ht="21">
      <c r="A5" s="15"/>
      <c r="B5" s="24" t="s">
        <v>332</v>
      </c>
      <c r="C5" s="437"/>
      <c r="D5" s="23" t="s">
        <v>403</v>
      </c>
      <c r="E5" s="7" t="s">
        <v>349</v>
      </c>
      <c r="F5" s="7" t="s">
        <v>1</v>
      </c>
      <c r="G5" s="7" t="s">
        <v>1</v>
      </c>
      <c r="H5" s="7" t="s">
        <v>1</v>
      </c>
      <c r="I5" s="437"/>
      <c r="J5" s="11"/>
      <c r="K5" s="11"/>
      <c r="L5" s="8" t="s">
        <v>404</v>
      </c>
      <c r="M5" s="437"/>
      <c r="N5" s="437"/>
      <c r="O5" s="437"/>
      <c r="P5" s="437"/>
      <c r="Q5" s="14"/>
    </row>
    <row r="6" spans="1:17">
      <c r="A6" s="310" t="s">
        <v>352</v>
      </c>
      <c r="B6" s="15">
        <f>IF(A6="Bla*", 0,D2)</f>
        <v>25.62</v>
      </c>
      <c r="C6" s="27">
        <f>+D1+N33</f>
        <v>58110</v>
      </c>
      <c r="D6" s="19">
        <f>VLOOKUP($A6, 'WW and FSM data'!$H$9:$P$18, 4, FALSE)</f>
        <v>0.21249999999999999</v>
      </c>
      <c r="E6" s="20">
        <f>VLOOKUP($A6, 'WW and FSM data'!$H$9:$P$18, 5, FALSE)</f>
        <v>30</v>
      </c>
      <c r="F6" s="21">
        <f>VLOOKUP($A6, 'WW and FSM data'!$H$9:$P$18, 6, FALSE)</f>
        <v>0.5</v>
      </c>
      <c r="G6" s="21">
        <f>VLOOKUP($A6, 'WW and FSM data'!$H$9:$P$18, 7, FALSE)</f>
        <v>0</v>
      </c>
      <c r="H6" s="21">
        <f>VLOOKUP($A6, 'WW and FSM data'!$H$9:$P$18, 8, FALSE)</f>
        <v>0</v>
      </c>
      <c r="I6" s="21">
        <f>VLOOKUP($A6, 'WW and FSM data'!$H$9:$P$18, 9, FALSE)</f>
        <v>0.6</v>
      </c>
      <c r="J6" s="16">
        <f>+C6*D6</f>
        <v>12348.375</v>
      </c>
      <c r="K6" s="16">
        <f>+B6*(1-(F6+G6+H6))</f>
        <v>12.81</v>
      </c>
      <c r="L6" s="26">
        <f>+J6*K6</f>
        <v>158182.68375</v>
      </c>
      <c r="M6" s="16">
        <f>+L6*'Basic Data Input'!$K$26</f>
        <v>5378211.2474999996</v>
      </c>
      <c r="N6" s="16">
        <f t="shared" ref="N6:N13" si="0">IF(A6="Drying Beds", 0,+C6*F6)</f>
        <v>29055</v>
      </c>
      <c r="O6" s="16">
        <f t="shared" ref="O6:O13" si="1">+C6-N6</f>
        <v>29055</v>
      </c>
      <c r="P6" s="26">
        <f t="shared" ref="P6:P13" si="2">+B6*(1-I6)</f>
        <v>10.248000000000001</v>
      </c>
      <c r="Q6" s="16"/>
    </row>
    <row r="7" spans="1:17">
      <c r="A7" s="310" t="s">
        <v>354</v>
      </c>
      <c r="B7" s="27">
        <f t="shared" ref="B7:B13" si="3">IF(ISNUMBER(SEARCH("Bla", A7)), 0, IF(A7="Drying Beds",D1,P6))</f>
        <v>10.248000000000001</v>
      </c>
      <c r="C7" s="27">
        <f t="shared" ref="C7:C13" si="4">IF(ISNUMBER(SEARCH("Bla", A7)), 0, IF(A7="Drying Beds",N14,O6))</f>
        <v>29055</v>
      </c>
      <c r="D7" s="19">
        <f>VLOOKUP($A7, 'WW and FSM data'!$H$9:$P$18, 4, FALSE)</f>
        <v>0.125</v>
      </c>
      <c r="E7" s="20">
        <f>VLOOKUP($A7, 'WW and FSM data'!$H$9:$P$18, 5, FALSE)</f>
        <v>30</v>
      </c>
      <c r="F7" s="21">
        <f>VLOOKUP($A7, 'WW and FSM data'!$H$9:$P$18, 6, FALSE)</f>
        <v>0.5</v>
      </c>
      <c r="G7" s="21">
        <f>VLOOKUP($A7, 'WW and FSM data'!$H$9:$P$18, 7, FALSE)</f>
        <v>0</v>
      </c>
      <c r="H7" s="21">
        <f>VLOOKUP($A7, 'WW and FSM data'!$H$9:$P$18, 8, FALSE)</f>
        <v>0</v>
      </c>
      <c r="I7" s="21">
        <f>VLOOKUP($A7, 'WW and FSM data'!$H$9:$P$18, 9, FALSE)</f>
        <v>0.6</v>
      </c>
      <c r="J7" s="16">
        <f t="shared" ref="J7:J13" si="5">+C7*D7</f>
        <v>3631.875</v>
      </c>
      <c r="K7" s="16">
        <f t="shared" ref="K7:K13" si="6">+B7*(1-(F7+G7+H7))</f>
        <v>5.1240000000000006</v>
      </c>
      <c r="L7" s="26">
        <f t="shared" ref="L7:L13" si="7">+J7*K7</f>
        <v>18609.727500000001</v>
      </c>
      <c r="M7" s="16">
        <f>+L7*'Basic Data Input'!$K$26</f>
        <v>632730.73499999999</v>
      </c>
      <c r="N7" s="16">
        <f t="shared" si="0"/>
        <v>14527.5</v>
      </c>
      <c r="O7" s="16">
        <f t="shared" si="1"/>
        <v>14527.5</v>
      </c>
      <c r="P7" s="26">
        <f t="shared" si="2"/>
        <v>4.0992000000000006</v>
      </c>
      <c r="Q7" s="16"/>
    </row>
    <row r="8" spans="1:17">
      <c r="A8" s="310" t="s">
        <v>355</v>
      </c>
      <c r="B8" s="27">
        <f t="shared" si="3"/>
        <v>25.62</v>
      </c>
      <c r="C8" s="27">
        <f t="shared" si="4"/>
        <v>43582.5</v>
      </c>
      <c r="D8" s="19">
        <f>VLOOKUP($A8, 'WW and FSM data'!$H$9:$P$18, 4, FALSE)</f>
        <v>6.25E-2</v>
      </c>
      <c r="E8" s="20">
        <f>VLOOKUP($A8, 'WW and FSM data'!$H$9:$P$18, 5, FALSE)</f>
        <v>90</v>
      </c>
      <c r="F8" s="21">
        <f>VLOOKUP($A8, 'WW and FSM data'!$H$9:$P$18, 6, FALSE)</f>
        <v>0</v>
      </c>
      <c r="G8" s="21">
        <f>VLOOKUP($A8, 'WW and FSM data'!$H$9:$P$18, 7, FALSE)</f>
        <v>0</v>
      </c>
      <c r="H8" s="21">
        <f>VLOOKUP($A8, 'WW and FSM data'!$H$9:$P$18, 8, FALSE)</f>
        <v>0</v>
      </c>
      <c r="I8" s="21">
        <f>VLOOKUP($A8, 'WW and FSM data'!$H$9:$P$18, 9, FALSE)</f>
        <v>0.5</v>
      </c>
      <c r="J8" s="16">
        <f t="shared" si="5"/>
        <v>2723.90625</v>
      </c>
      <c r="K8" s="16">
        <f t="shared" si="6"/>
        <v>25.62</v>
      </c>
      <c r="L8" s="26">
        <f t="shared" si="7"/>
        <v>69786.478125000009</v>
      </c>
      <c r="M8" s="16">
        <f>+L8*'Basic Data Input'!$K$26</f>
        <v>2372740.2562500001</v>
      </c>
      <c r="N8" s="16">
        <f t="shared" si="0"/>
        <v>0</v>
      </c>
      <c r="O8" s="16">
        <f t="shared" si="1"/>
        <v>43582.5</v>
      </c>
      <c r="P8" s="26">
        <f t="shared" si="2"/>
        <v>12.81</v>
      </c>
      <c r="Q8" s="16"/>
    </row>
    <row r="9" spans="1:17">
      <c r="A9" s="310" t="s">
        <v>366</v>
      </c>
      <c r="B9" s="27">
        <f t="shared" si="3"/>
        <v>0</v>
      </c>
      <c r="C9" s="27">
        <f t="shared" si="4"/>
        <v>0</v>
      </c>
      <c r="D9" s="19">
        <f>VLOOKUP($A9, 'WW and FSM data'!$H$9:$P$18, 4, FALSE)</f>
        <v>0</v>
      </c>
      <c r="E9" s="20">
        <f>VLOOKUP($A9, 'WW and FSM data'!$H$9:$P$18, 5, FALSE)</f>
        <v>0</v>
      </c>
      <c r="F9" s="21">
        <f>VLOOKUP($A9, 'WW and FSM data'!$H$9:$P$18, 6, FALSE)</f>
        <v>0</v>
      </c>
      <c r="G9" s="21">
        <f>VLOOKUP($A9, 'WW and FSM data'!$H$9:$P$18, 7, FALSE)</f>
        <v>0</v>
      </c>
      <c r="H9" s="21">
        <f>VLOOKUP($A9, 'WW and FSM data'!$H$9:$P$18, 8, FALSE)</f>
        <v>0</v>
      </c>
      <c r="I9" s="21">
        <f>VLOOKUP($A9, 'WW and FSM data'!$H$9:$P$18, 9, FALSE)</f>
        <v>0</v>
      </c>
      <c r="J9" s="16">
        <f t="shared" si="5"/>
        <v>0</v>
      </c>
      <c r="K9" s="16">
        <f t="shared" si="6"/>
        <v>0</v>
      </c>
      <c r="L9" s="26">
        <f t="shared" si="7"/>
        <v>0</v>
      </c>
      <c r="M9" s="16">
        <f>+L9*'Basic Data Input'!$K$26</f>
        <v>0</v>
      </c>
      <c r="N9" s="16">
        <f t="shared" si="0"/>
        <v>0</v>
      </c>
      <c r="O9" s="16">
        <f t="shared" si="1"/>
        <v>0</v>
      </c>
      <c r="P9" s="26">
        <f t="shared" si="2"/>
        <v>0</v>
      </c>
      <c r="Q9" s="16"/>
    </row>
    <row r="10" spans="1:17">
      <c r="A10" s="310" t="s">
        <v>366</v>
      </c>
      <c r="B10" s="27">
        <f t="shared" si="3"/>
        <v>0</v>
      </c>
      <c r="C10" s="27">
        <f t="shared" si="4"/>
        <v>0</v>
      </c>
      <c r="D10" s="19">
        <f>VLOOKUP($A10, 'WW and FSM data'!$H$9:$P$18, 4, FALSE)</f>
        <v>0</v>
      </c>
      <c r="E10" s="20">
        <f>VLOOKUP($A10, 'WW and FSM data'!$H$9:$P$18, 5, FALSE)</f>
        <v>0</v>
      </c>
      <c r="F10" s="21">
        <f>VLOOKUP($A10, 'WW and FSM data'!$H$9:$P$18, 6, FALSE)</f>
        <v>0</v>
      </c>
      <c r="G10" s="21">
        <f>VLOOKUP($A10, 'WW and FSM data'!$H$9:$P$18, 7, FALSE)</f>
        <v>0</v>
      </c>
      <c r="H10" s="21">
        <f>VLOOKUP($A10, 'WW and FSM data'!$H$9:$P$18, 8, FALSE)</f>
        <v>0</v>
      </c>
      <c r="I10" s="21">
        <f>VLOOKUP($A10, 'WW and FSM data'!$H$9:$P$18, 9, FALSE)</f>
        <v>0</v>
      </c>
      <c r="J10" s="16">
        <f t="shared" si="5"/>
        <v>0</v>
      </c>
      <c r="K10" s="16">
        <f t="shared" si="6"/>
        <v>0</v>
      </c>
      <c r="L10" s="26">
        <f t="shared" si="7"/>
        <v>0</v>
      </c>
      <c r="M10" s="16">
        <f>+L10*'Basic Data Input'!$K$26</f>
        <v>0</v>
      </c>
      <c r="N10" s="16">
        <f t="shared" si="0"/>
        <v>0</v>
      </c>
      <c r="O10" s="16">
        <f t="shared" si="1"/>
        <v>0</v>
      </c>
      <c r="P10" s="26">
        <f t="shared" si="2"/>
        <v>0</v>
      </c>
      <c r="Q10" s="16"/>
    </row>
    <row r="11" spans="1:17">
      <c r="A11" s="310" t="s">
        <v>366</v>
      </c>
      <c r="B11" s="27">
        <f t="shared" si="3"/>
        <v>0</v>
      </c>
      <c r="C11" s="27">
        <f t="shared" si="4"/>
        <v>0</v>
      </c>
      <c r="D11" s="19">
        <f>VLOOKUP($A11, 'WW and FSM data'!$H$9:$P$18, 4, FALSE)</f>
        <v>0</v>
      </c>
      <c r="E11" s="20">
        <f>VLOOKUP($A11, 'WW and FSM data'!$H$9:$P$18, 5, FALSE)</f>
        <v>0</v>
      </c>
      <c r="F11" s="21">
        <f>VLOOKUP($A11, 'WW and FSM data'!$H$9:$P$18, 6, FALSE)</f>
        <v>0</v>
      </c>
      <c r="G11" s="21">
        <f>VLOOKUP($A11, 'WW and FSM data'!$H$9:$P$18, 7, FALSE)</f>
        <v>0</v>
      </c>
      <c r="H11" s="21">
        <f>VLOOKUP($A11, 'WW and FSM data'!$H$9:$P$18, 8, FALSE)</f>
        <v>0</v>
      </c>
      <c r="I11" s="21">
        <f>VLOOKUP($A11, 'WW and FSM data'!$H$9:$P$18, 9, FALSE)</f>
        <v>0</v>
      </c>
      <c r="J11" s="16">
        <f t="shared" si="5"/>
        <v>0</v>
      </c>
      <c r="K11" s="16">
        <f t="shared" si="6"/>
        <v>0</v>
      </c>
      <c r="L11" s="26">
        <f t="shared" si="7"/>
        <v>0</v>
      </c>
      <c r="M11" s="16">
        <f>+L11*'Basic Data Input'!$K$26</f>
        <v>0</v>
      </c>
      <c r="N11" s="16">
        <f t="shared" si="0"/>
        <v>0</v>
      </c>
      <c r="O11" s="16">
        <f t="shared" si="1"/>
        <v>0</v>
      </c>
      <c r="P11" s="26">
        <f t="shared" si="2"/>
        <v>0</v>
      </c>
      <c r="Q11" s="16"/>
    </row>
    <row r="12" spans="1:17">
      <c r="A12" s="310" t="s">
        <v>366</v>
      </c>
      <c r="B12" s="27">
        <f t="shared" si="3"/>
        <v>0</v>
      </c>
      <c r="C12" s="27">
        <f t="shared" si="4"/>
        <v>0</v>
      </c>
      <c r="D12" s="19">
        <f>VLOOKUP($A12, 'WW and FSM data'!$H$9:$P$18, 4, FALSE)</f>
        <v>0</v>
      </c>
      <c r="E12" s="20">
        <f>VLOOKUP($A12, 'WW and FSM data'!$H$9:$P$18, 5, FALSE)</f>
        <v>0</v>
      </c>
      <c r="F12" s="21">
        <f>VLOOKUP($A12, 'WW and FSM data'!$H$9:$P$18, 6, FALSE)</f>
        <v>0</v>
      </c>
      <c r="G12" s="21">
        <f>VLOOKUP($A12, 'WW and FSM data'!$H$9:$P$18, 7, FALSE)</f>
        <v>0</v>
      </c>
      <c r="H12" s="21">
        <f>VLOOKUP($A12, 'WW and FSM data'!$H$9:$P$18, 8, FALSE)</f>
        <v>0</v>
      </c>
      <c r="I12" s="21">
        <f>VLOOKUP($A12, 'WW and FSM data'!$H$9:$P$18, 9, FALSE)</f>
        <v>0</v>
      </c>
      <c r="J12" s="16">
        <f t="shared" si="5"/>
        <v>0</v>
      </c>
      <c r="K12" s="16">
        <f t="shared" si="6"/>
        <v>0</v>
      </c>
      <c r="L12" s="26">
        <f t="shared" si="7"/>
        <v>0</v>
      </c>
      <c r="M12" s="16">
        <f>+L12*'Basic Data Input'!$K$26</f>
        <v>0</v>
      </c>
      <c r="N12" s="16">
        <f t="shared" si="0"/>
        <v>0</v>
      </c>
      <c r="O12" s="16">
        <f t="shared" si="1"/>
        <v>0</v>
      </c>
      <c r="P12" s="26">
        <f t="shared" si="2"/>
        <v>0</v>
      </c>
      <c r="Q12" s="16"/>
    </row>
    <row r="13" spans="1:17">
      <c r="A13" s="310" t="s">
        <v>366</v>
      </c>
      <c r="B13" s="27">
        <f t="shared" si="3"/>
        <v>0</v>
      </c>
      <c r="C13" s="27">
        <f t="shared" si="4"/>
        <v>0</v>
      </c>
      <c r="D13" s="19">
        <f>VLOOKUP($A13, 'WW and FSM data'!$H$9:$P$18, 4, FALSE)</f>
        <v>0</v>
      </c>
      <c r="E13" s="20">
        <f>VLOOKUP($A13, 'WW and FSM data'!$H$9:$P$18, 5, FALSE)</f>
        <v>0</v>
      </c>
      <c r="F13" s="21">
        <f>VLOOKUP($A13, 'WW and FSM data'!$H$9:$P$18, 6, FALSE)</f>
        <v>0</v>
      </c>
      <c r="G13" s="21">
        <f>VLOOKUP($A13, 'WW and FSM data'!$H$9:$P$18, 7, FALSE)</f>
        <v>0</v>
      </c>
      <c r="H13" s="21">
        <f>VLOOKUP($A13, 'WW and FSM data'!$H$9:$P$18, 8, FALSE)</f>
        <v>0</v>
      </c>
      <c r="I13" s="21">
        <f>VLOOKUP($A13, 'WW and FSM data'!$H$9:$P$18, 9, FALSE)</f>
        <v>0</v>
      </c>
      <c r="J13" s="16">
        <f t="shared" si="5"/>
        <v>0</v>
      </c>
      <c r="K13" s="16">
        <f t="shared" si="6"/>
        <v>0</v>
      </c>
      <c r="L13" s="26">
        <f t="shared" si="7"/>
        <v>0</v>
      </c>
      <c r="M13" s="16">
        <f>+L13*'Basic Data Input'!$K$26</f>
        <v>0</v>
      </c>
      <c r="N13" s="16">
        <f t="shared" si="0"/>
        <v>0</v>
      </c>
      <c r="O13" s="16">
        <f t="shared" si="1"/>
        <v>0</v>
      </c>
      <c r="P13" s="26">
        <f t="shared" si="2"/>
        <v>0</v>
      </c>
      <c r="Q13" s="16"/>
    </row>
    <row r="14" spans="1:17">
      <c r="A14" s="15" t="s">
        <v>405</v>
      </c>
      <c r="B14" s="4"/>
      <c r="C14" s="4"/>
      <c r="D14" s="19"/>
      <c r="E14" s="19"/>
      <c r="F14" s="19"/>
      <c r="G14" s="19"/>
      <c r="H14" s="19"/>
      <c r="I14" s="19"/>
      <c r="J14" s="19"/>
      <c r="K14" s="19"/>
      <c r="L14" s="16"/>
      <c r="M14" s="16"/>
      <c r="N14" s="16"/>
      <c r="O14" s="16"/>
      <c r="P14" s="16"/>
      <c r="Q14" s="16"/>
    </row>
    <row r="15" spans="1:17">
      <c r="A15" s="15" t="s">
        <v>406</v>
      </c>
      <c r="B15" s="19"/>
      <c r="C15" s="19"/>
      <c r="D15" s="19"/>
      <c r="E15" s="19"/>
      <c r="F15" s="19"/>
      <c r="G15" s="19"/>
      <c r="H15" s="19"/>
      <c r="I15" s="19"/>
      <c r="J15" s="19"/>
      <c r="K15" s="19"/>
      <c r="L15" s="29">
        <f>SUM(L6:L13)</f>
        <v>246578.88937500003</v>
      </c>
      <c r="M15" s="191">
        <f>SUM(M6:M13)</f>
        <v>8383682.2387499996</v>
      </c>
      <c r="N15" s="32">
        <f>SUM(N6:N13)</f>
        <v>43582.5</v>
      </c>
      <c r="O15" s="19" t="s">
        <v>407</v>
      </c>
      <c r="P15" s="19"/>
      <c r="Q15" s="19"/>
    </row>
    <row r="16" spans="1:17">
      <c r="A16" s="34" t="s">
        <v>408</v>
      </c>
      <c r="B16" s="19"/>
      <c r="C16" s="19"/>
      <c r="D16" s="19"/>
      <c r="E16" s="19"/>
      <c r="F16" s="19"/>
      <c r="G16" s="19"/>
      <c r="H16" s="19"/>
      <c r="I16" s="19"/>
      <c r="J16" s="19"/>
      <c r="K16" s="19"/>
      <c r="L16" s="19"/>
      <c r="M16" s="19"/>
      <c r="N16" s="19"/>
      <c r="O16" s="19"/>
      <c r="P16" s="19"/>
      <c r="Q16" s="19"/>
    </row>
    <row r="17" spans="1:17">
      <c r="A17" s="15"/>
      <c r="B17" s="19"/>
      <c r="C17" s="19"/>
      <c r="D17" s="19"/>
      <c r="E17" s="19"/>
      <c r="F17" s="19"/>
      <c r="G17" s="19"/>
      <c r="H17" s="19"/>
      <c r="I17" s="19"/>
      <c r="J17" s="19"/>
      <c r="K17" s="19"/>
      <c r="L17" s="19"/>
      <c r="M17" s="19"/>
      <c r="N17" s="19"/>
      <c r="O17" s="19"/>
      <c r="P17" s="19"/>
      <c r="Q17" s="19"/>
    </row>
    <row r="19" spans="1:17">
      <c r="A19" s="14" t="s">
        <v>334</v>
      </c>
      <c r="B19" s="14" t="s">
        <v>409</v>
      </c>
      <c r="C19" s="15"/>
      <c r="D19" s="33">
        <f>(+'Basic Data Input'!L7/'Basic Data Input'!K16)*'WW and FSM data'!C28</f>
        <v>110550</v>
      </c>
      <c r="E19" s="14"/>
      <c r="F19" s="15"/>
      <c r="G19" s="17"/>
      <c r="H19" s="17"/>
      <c r="I19" s="17"/>
      <c r="J19" s="17"/>
      <c r="K19" s="17"/>
      <c r="L19" s="17"/>
      <c r="M19" s="17"/>
      <c r="N19" s="17"/>
      <c r="O19" s="17"/>
      <c r="P19" s="17"/>
      <c r="Q19" s="17"/>
    </row>
    <row r="20" spans="1:17">
      <c r="A20" s="15"/>
      <c r="B20" s="14" t="s">
        <v>386</v>
      </c>
      <c r="C20" s="15"/>
      <c r="D20" s="15">
        <f>+'WW and FSM data'!I4</f>
        <v>25.62</v>
      </c>
      <c r="E20" s="14" t="s">
        <v>332</v>
      </c>
      <c r="F20" s="15"/>
      <c r="G20" s="17"/>
      <c r="H20" s="17"/>
      <c r="I20" s="17"/>
      <c r="J20" s="17"/>
      <c r="K20" s="17"/>
      <c r="L20" s="17"/>
      <c r="M20" s="17"/>
      <c r="N20" s="17"/>
      <c r="O20" s="17"/>
      <c r="P20" s="17"/>
      <c r="Q20" s="17"/>
    </row>
    <row r="21" spans="1:17">
      <c r="A21" s="15"/>
      <c r="B21" s="14"/>
      <c r="C21" s="15"/>
      <c r="D21" s="15">
        <f>+D20/365</f>
        <v>7.0191780821917807E-2</v>
      </c>
      <c r="E21" s="14" t="s">
        <v>387</v>
      </c>
      <c r="F21" s="15"/>
      <c r="G21" s="17"/>
      <c r="H21" s="17"/>
      <c r="I21" s="17"/>
      <c r="J21" s="17"/>
      <c r="K21" s="17"/>
      <c r="L21" s="17"/>
      <c r="M21" s="17"/>
      <c r="N21" s="17"/>
      <c r="O21" s="17"/>
      <c r="P21" s="17"/>
      <c r="Q21" s="17"/>
    </row>
    <row r="22" spans="1:17" ht="13.15" customHeight="1">
      <c r="A22" s="18" t="s">
        <v>410</v>
      </c>
      <c r="B22" s="14" t="s">
        <v>389</v>
      </c>
      <c r="C22" s="14" t="s">
        <v>411</v>
      </c>
      <c r="D22" s="22" t="s">
        <v>36</v>
      </c>
      <c r="E22" s="7" t="s">
        <v>391</v>
      </c>
      <c r="F22" s="7" t="s">
        <v>392</v>
      </c>
      <c r="G22" s="7" t="s">
        <v>393</v>
      </c>
      <c r="H22" s="7" t="s">
        <v>394</v>
      </c>
      <c r="I22" s="437" t="s">
        <v>412</v>
      </c>
      <c r="J22" s="11" t="s">
        <v>396</v>
      </c>
      <c r="K22" s="11" t="s">
        <v>413</v>
      </c>
      <c r="L22" s="7" t="s">
        <v>398</v>
      </c>
      <c r="M22" s="437" t="s">
        <v>399</v>
      </c>
      <c r="N22" s="437" t="s">
        <v>414</v>
      </c>
      <c r="O22" s="437" t="s">
        <v>401</v>
      </c>
      <c r="P22" s="437" t="s">
        <v>402</v>
      </c>
      <c r="Q22" s="14"/>
    </row>
    <row r="23" spans="1:17" ht="21">
      <c r="A23" s="316"/>
      <c r="B23" s="24" t="s">
        <v>332</v>
      </c>
      <c r="C23" s="14"/>
      <c r="D23" s="23" t="s">
        <v>403</v>
      </c>
      <c r="E23" s="7" t="s">
        <v>349</v>
      </c>
      <c r="F23" s="7" t="s">
        <v>1</v>
      </c>
      <c r="G23" s="7" t="s">
        <v>1</v>
      </c>
      <c r="H23" s="7" t="s">
        <v>1</v>
      </c>
      <c r="I23" s="437"/>
      <c r="J23" s="11"/>
      <c r="K23" s="11"/>
      <c r="L23" s="8" t="s">
        <v>404</v>
      </c>
      <c r="M23" s="437"/>
      <c r="N23" s="437"/>
      <c r="O23" s="437"/>
      <c r="P23" s="437"/>
      <c r="Q23" s="14"/>
    </row>
    <row r="24" spans="1:17">
      <c r="A24" s="310" t="s">
        <v>356</v>
      </c>
      <c r="B24" s="15">
        <f>+D20</f>
        <v>25.62</v>
      </c>
      <c r="C24" s="31">
        <f>+D19</f>
        <v>110550</v>
      </c>
      <c r="D24" s="19">
        <f>VLOOKUP($A24, 'WW and FSM data'!$H$9:$P$18, 4, FALSE)</f>
        <v>0.22500000000000001</v>
      </c>
      <c r="E24" s="20">
        <f>VLOOKUP($A24, 'WW and FSM data'!$H$9:$P$18, 5, FALSE)</f>
        <v>15</v>
      </c>
      <c r="F24" s="21">
        <f>VLOOKUP($A24, 'WW and FSM data'!$H$9:$P$18, 6, FALSE)</f>
        <v>0</v>
      </c>
      <c r="G24" s="21">
        <v>0.2</v>
      </c>
      <c r="H24" s="21">
        <f>VLOOKUP($A24, 'WW and FSM data'!$H$9:$P$18, 8, FALSE)</f>
        <v>0</v>
      </c>
      <c r="I24" s="21">
        <f>VLOOKUP($A24, 'WW and FSM data'!$H$9:$P$18, 9, FALSE)</f>
        <v>0.6</v>
      </c>
      <c r="J24" s="16">
        <f>+C24*D24</f>
        <v>24873.75</v>
      </c>
      <c r="K24" s="16">
        <f>+B24*(1-(F24+G24+H24))</f>
        <v>20.496000000000002</v>
      </c>
      <c r="L24" s="16">
        <f t="shared" ref="L24:L31" si="8">+((B24+P24)/2)*C24*D24</f>
        <v>446085.83250000008</v>
      </c>
      <c r="M24" s="16">
        <f>+L24*'Basic Data Input'!$K$26</f>
        <v>15166918.305000003</v>
      </c>
      <c r="N24" s="16">
        <f>+C24*G24</f>
        <v>22110</v>
      </c>
      <c r="O24" s="16">
        <f t="shared" ref="O24:O31" si="9">+C24-N24</f>
        <v>88440</v>
      </c>
      <c r="P24" s="26">
        <f t="shared" ref="P24:P31" si="10">+B24*(1-I24)</f>
        <v>10.248000000000001</v>
      </c>
      <c r="Q24" s="16"/>
    </row>
    <row r="25" spans="1:17">
      <c r="A25" s="310" t="s">
        <v>355</v>
      </c>
      <c r="B25" s="27">
        <f t="shared" ref="B25:B31" si="11">IF(ISNUMBER(SEARCH("Bla", A25)), 0, P24)</f>
        <v>10.248000000000001</v>
      </c>
      <c r="C25" s="25">
        <f t="shared" ref="C25:C31" si="12">IF(ISNUMBER(SEARCH("Bla", A25)), 0, O24)</f>
        <v>88440</v>
      </c>
      <c r="D25" s="19">
        <f>VLOOKUP($A25, 'WW and FSM data'!$H$9:$P$18, 4, FALSE)</f>
        <v>6.25E-2</v>
      </c>
      <c r="E25" s="20">
        <f>VLOOKUP($A25, 'WW and FSM data'!$H$9:$P$18, 5, FALSE)</f>
        <v>90</v>
      </c>
      <c r="F25" s="21">
        <f>VLOOKUP($A25, 'WW and FSM data'!$H$9:$P$18, 6, FALSE)</f>
        <v>0</v>
      </c>
      <c r="G25" s="21">
        <f>VLOOKUP($A25, 'WW and FSM data'!$H$9:$P$18, 7, FALSE)</f>
        <v>0</v>
      </c>
      <c r="H25" s="21">
        <f>VLOOKUP($A25, 'WW and FSM data'!$H$9:$P$18, 8, FALSE)</f>
        <v>0</v>
      </c>
      <c r="I25" s="21">
        <f>VLOOKUP($A25, 'WW and FSM data'!$H$9:$P$18, 9, FALSE)</f>
        <v>0.5</v>
      </c>
      <c r="J25" s="16">
        <f t="shared" ref="J25:J31" si="13">+C25*D25</f>
        <v>5527.5</v>
      </c>
      <c r="K25" s="16">
        <f t="shared" ref="K25:K31" si="14">+B25*(1-(F25+G25+H25))</f>
        <v>10.248000000000001</v>
      </c>
      <c r="L25" s="16">
        <f t="shared" si="8"/>
        <v>42484.365000000005</v>
      </c>
      <c r="M25" s="16">
        <f>+L25*'Basic Data Input'!$K$26</f>
        <v>1444468.4100000001</v>
      </c>
      <c r="N25" s="16">
        <f t="shared" ref="N25:N31" si="15">+C25*F25</f>
        <v>0</v>
      </c>
      <c r="O25" s="16">
        <f t="shared" si="9"/>
        <v>88440</v>
      </c>
      <c r="P25" s="26">
        <f t="shared" si="10"/>
        <v>5.1240000000000006</v>
      </c>
      <c r="Q25" s="16"/>
    </row>
    <row r="26" spans="1:17">
      <c r="A26" s="310" t="s">
        <v>358</v>
      </c>
      <c r="B26" s="27">
        <f t="shared" si="11"/>
        <v>5.1240000000000006</v>
      </c>
      <c r="C26" s="25">
        <f t="shared" si="12"/>
        <v>88440</v>
      </c>
      <c r="D26" s="19">
        <f>VLOOKUP($A26, 'WW and FSM data'!$H$9:$P$18, 4, FALSE)</f>
        <v>6.25E-2</v>
      </c>
      <c r="E26" s="20">
        <f>VLOOKUP($A26, 'WW and FSM data'!$H$9:$P$18, 5, FALSE)</f>
        <v>60</v>
      </c>
      <c r="F26" s="21">
        <f>VLOOKUP($A26, 'WW and FSM data'!$H$9:$P$18, 6, FALSE)</f>
        <v>0</v>
      </c>
      <c r="G26" s="21">
        <f>VLOOKUP($A26, 'WW and FSM data'!$H$9:$P$18, 7, FALSE)</f>
        <v>0</v>
      </c>
      <c r="H26" s="21">
        <f>VLOOKUP($A26, 'WW and FSM data'!$H$9:$P$18, 8, FALSE)</f>
        <v>0</v>
      </c>
      <c r="I26" s="21">
        <f>VLOOKUP($A26, 'WW and FSM data'!$H$9:$P$18, 9, FALSE)</f>
        <v>0.7</v>
      </c>
      <c r="J26" s="16">
        <f t="shared" si="13"/>
        <v>5527.5</v>
      </c>
      <c r="K26" s="16">
        <f t="shared" si="14"/>
        <v>5.1240000000000006</v>
      </c>
      <c r="L26" s="16">
        <f t="shared" si="8"/>
        <v>18409.891500000002</v>
      </c>
      <c r="M26" s="16">
        <f>+L26*'Basic Data Input'!$K$26</f>
        <v>625936.3110000001</v>
      </c>
      <c r="N26" s="16">
        <f t="shared" si="15"/>
        <v>0</v>
      </c>
      <c r="O26" s="16">
        <f t="shared" si="9"/>
        <v>88440</v>
      </c>
      <c r="P26" s="26">
        <f t="shared" si="10"/>
        <v>1.5372000000000003</v>
      </c>
      <c r="Q26" s="16"/>
    </row>
    <row r="27" spans="1:17">
      <c r="A27" s="310" t="s">
        <v>366</v>
      </c>
      <c r="B27" s="27">
        <f t="shared" si="11"/>
        <v>0</v>
      </c>
      <c r="C27" s="25">
        <f t="shared" si="12"/>
        <v>0</v>
      </c>
      <c r="D27" s="19">
        <f>VLOOKUP($A27, 'WW and FSM data'!$H$9:$P$18, 4, FALSE)</f>
        <v>0</v>
      </c>
      <c r="E27" s="20">
        <f>VLOOKUP($A27, 'WW and FSM data'!$H$9:$P$18, 5, FALSE)</f>
        <v>0</v>
      </c>
      <c r="F27" s="21">
        <f>VLOOKUP($A27, 'WW and FSM data'!$H$9:$P$18, 6, FALSE)</f>
        <v>0</v>
      </c>
      <c r="G27" s="21">
        <f>VLOOKUP($A27, 'WW and FSM data'!$H$9:$P$18, 7, FALSE)</f>
        <v>0</v>
      </c>
      <c r="H27" s="21">
        <f>VLOOKUP($A27, 'WW and FSM data'!$H$9:$P$18, 8, FALSE)</f>
        <v>0</v>
      </c>
      <c r="I27" s="21">
        <f>VLOOKUP($A27, 'WW and FSM data'!$H$9:$P$18, 9, FALSE)</f>
        <v>0</v>
      </c>
      <c r="J27" s="16">
        <f t="shared" si="13"/>
        <v>0</v>
      </c>
      <c r="K27" s="16">
        <f t="shared" si="14"/>
        <v>0</v>
      </c>
      <c r="L27" s="16">
        <f t="shared" si="8"/>
        <v>0</v>
      </c>
      <c r="M27" s="16">
        <f>+L27*'Basic Data Input'!$K$26</f>
        <v>0</v>
      </c>
      <c r="N27" s="16">
        <f t="shared" si="15"/>
        <v>0</v>
      </c>
      <c r="O27" s="16">
        <f t="shared" si="9"/>
        <v>0</v>
      </c>
      <c r="P27" s="26">
        <f t="shared" si="10"/>
        <v>0</v>
      </c>
      <c r="Q27" s="16"/>
    </row>
    <row r="28" spans="1:17">
      <c r="A28" s="310" t="s">
        <v>366</v>
      </c>
      <c r="B28" s="27">
        <f t="shared" si="11"/>
        <v>0</v>
      </c>
      <c r="C28" s="25">
        <f t="shared" si="12"/>
        <v>0</v>
      </c>
      <c r="D28" s="19">
        <f>VLOOKUP($A28, 'WW and FSM data'!$H$9:$P$18, 4, FALSE)</f>
        <v>0</v>
      </c>
      <c r="E28" s="20">
        <f>VLOOKUP($A28, 'WW and FSM data'!$H$9:$P$18, 5, FALSE)</f>
        <v>0</v>
      </c>
      <c r="F28" s="21">
        <f>VLOOKUP($A28, 'WW and FSM data'!$H$9:$P$18, 6, FALSE)</f>
        <v>0</v>
      </c>
      <c r="G28" s="21">
        <f>VLOOKUP($A28, 'WW and FSM data'!$H$9:$P$18, 7, FALSE)</f>
        <v>0</v>
      </c>
      <c r="H28" s="21">
        <f>VLOOKUP($A28, 'WW and FSM data'!$H$9:$P$18, 8, FALSE)</f>
        <v>0</v>
      </c>
      <c r="I28" s="21">
        <f>VLOOKUP($A28, 'WW and FSM data'!$H$9:$P$18, 9, FALSE)</f>
        <v>0</v>
      </c>
      <c r="J28" s="16">
        <f t="shared" si="13"/>
        <v>0</v>
      </c>
      <c r="K28" s="16">
        <f t="shared" si="14"/>
        <v>0</v>
      </c>
      <c r="L28" s="16">
        <f t="shared" si="8"/>
        <v>0</v>
      </c>
      <c r="M28" s="16">
        <f>+L28*'Basic Data Input'!$K$26</f>
        <v>0</v>
      </c>
      <c r="N28" s="16">
        <f t="shared" si="15"/>
        <v>0</v>
      </c>
      <c r="O28" s="16">
        <f t="shared" si="9"/>
        <v>0</v>
      </c>
      <c r="P28" s="26">
        <f t="shared" si="10"/>
        <v>0</v>
      </c>
      <c r="Q28" s="16"/>
    </row>
    <row r="29" spans="1:17">
      <c r="A29" s="310" t="s">
        <v>366</v>
      </c>
      <c r="B29" s="27">
        <f t="shared" si="11"/>
        <v>0</v>
      </c>
      <c r="C29" s="25">
        <f t="shared" si="12"/>
        <v>0</v>
      </c>
      <c r="D29" s="19">
        <f>VLOOKUP($A29, 'WW and FSM data'!$H$9:$P$18, 4, FALSE)</f>
        <v>0</v>
      </c>
      <c r="E29" s="20">
        <f>VLOOKUP($A29, 'WW and FSM data'!$H$9:$P$18, 5, FALSE)</f>
        <v>0</v>
      </c>
      <c r="F29" s="21">
        <f>VLOOKUP($A29, 'WW and FSM data'!$H$9:$P$18, 6, FALSE)</f>
        <v>0</v>
      </c>
      <c r="G29" s="21">
        <f>VLOOKUP($A29, 'WW and FSM data'!$H$9:$P$18, 7, FALSE)</f>
        <v>0</v>
      </c>
      <c r="H29" s="21">
        <f>VLOOKUP($A29, 'WW and FSM data'!$H$9:$P$18, 8, FALSE)</f>
        <v>0</v>
      </c>
      <c r="I29" s="21">
        <f>VLOOKUP($A29, 'WW and FSM data'!$H$9:$P$18, 9, FALSE)</f>
        <v>0</v>
      </c>
      <c r="J29" s="16">
        <f t="shared" si="13"/>
        <v>0</v>
      </c>
      <c r="K29" s="16">
        <f t="shared" si="14"/>
        <v>0</v>
      </c>
      <c r="L29" s="16">
        <f t="shared" si="8"/>
        <v>0</v>
      </c>
      <c r="M29" s="16">
        <f>+L29*'Basic Data Input'!$K$26</f>
        <v>0</v>
      </c>
      <c r="N29" s="16">
        <f t="shared" si="15"/>
        <v>0</v>
      </c>
      <c r="O29" s="16">
        <f t="shared" si="9"/>
        <v>0</v>
      </c>
      <c r="P29" s="26">
        <f t="shared" si="10"/>
        <v>0</v>
      </c>
      <c r="Q29" s="16"/>
    </row>
    <row r="30" spans="1:17">
      <c r="A30" s="310" t="s">
        <v>366</v>
      </c>
      <c r="B30" s="27">
        <f t="shared" si="11"/>
        <v>0</v>
      </c>
      <c r="C30" s="25">
        <f t="shared" si="12"/>
        <v>0</v>
      </c>
      <c r="D30" s="19">
        <f>VLOOKUP($A30, 'WW and FSM data'!$H$9:$P$18, 4, FALSE)</f>
        <v>0</v>
      </c>
      <c r="E30" s="20">
        <f>VLOOKUP($A30, 'WW and FSM data'!$H$9:$P$18, 5, FALSE)</f>
        <v>0</v>
      </c>
      <c r="F30" s="21">
        <f>VLOOKUP($A30, 'WW and FSM data'!$H$9:$P$18, 6, FALSE)</f>
        <v>0</v>
      </c>
      <c r="G30" s="21">
        <f>VLOOKUP($A30, 'WW and FSM data'!$H$9:$P$18, 7, FALSE)</f>
        <v>0</v>
      </c>
      <c r="H30" s="21">
        <f>VLOOKUP($A30, 'WW and FSM data'!$H$9:$P$18, 8, FALSE)</f>
        <v>0</v>
      </c>
      <c r="I30" s="21">
        <f>VLOOKUP($A30, 'WW and FSM data'!$H$9:$P$18, 9, FALSE)</f>
        <v>0</v>
      </c>
      <c r="J30" s="16">
        <f t="shared" si="13"/>
        <v>0</v>
      </c>
      <c r="K30" s="16">
        <f t="shared" si="14"/>
        <v>0</v>
      </c>
      <c r="L30" s="16">
        <f t="shared" si="8"/>
        <v>0</v>
      </c>
      <c r="M30" s="16">
        <f>+L30*'Basic Data Input'!$K$26</f>
        <v>0</v>
      </c>
      <c r="N30" s="16">
        <f t="shared" si="15"/>
        <v>0</v>
      </c>
      <c r="O30" s="16">
        <f t="shared" si="9"/>
        <v>0</v>
      </c>
      <c r="P30" s="26">
        <f t="shared" si="10"/>
        <v>0</v>
      </c>
      <c r="Q30" s="16"/>
    </row>
    <row r="31" spans="1:17">
      <c r="A31" s="310" t="s">
        <v>366</v>
      </c>
      <c r="B31" s="27">
        <f t="shared" si="11"/>
        <v>0</v>
      </c>
      <c r="C31" s="25">
        <f t="shared" si="12"/>
        <v>0</v>
      </c>
      <c r="D31" s="19">
        <f>VLOOKUP($A31, 'WW and FSM data'!$H$9:$P$18, 4, FALSE)</f>
        <v>0</v>
      </c>
      <c r="E31" s="20">
        <f>VLOOKUP($A31, 'WW and FSM data'!$H$9:$P$18, 5, FALSE)</f>
        <v>0</v>
      </c>
      <c r="F31" s="21">
        <f>VLOOKUP($A31, 'WW and FSM data'!$H$9:$P$18, 6, FALSE)</f>
        <v>0</v>
      </c>
      <c r="G31" s="21">
        <f>VLOOKUP($A31, 'WW and FSM data'!$H$9:$P$18, 7, FALSE)</f>
        <v>0</v>
      </c>
      <c r="H31" s="21">
        <f>VLOOKUP($A31, 'WW and FSM data'!$H$9:$P$18, 8, FALSE)</f>
        <v>0</v>
      </c>
      <c r="I31" s="21">
        <f>VLOOKUP($A31, 'WW and FSM data'!$H$9:$P$18, 9, FALSE)</f>
        <v>0</v>
      </c>
      <c r="J31" s="16">
        <f t="shared" si="13"/>
        <v>0</v>
      </c>
      <c r="K31" s="16">
        <f t="shared" si="14"/>
        <v>0</v>
      </c>
      <c r="L31" s="16">
        <f t="shared" si="8"/>
        <v>0</v>
      </c>
      <c r="M31" s="16">
        <f>+L31*'Basic Data Input'!$K$26</f>
        <v>0</v>
      </c>
      <c r="N31" s="16">
        <f t="shared" si="15"/>
        <v>0</v>
      </c>
      <c r="O31" s="16">
        <f t="shared" si="9"/>
        <v>0</v>
      </c>
      <c r="P31" s="26">
        <f t="shared" si="10"/>
        <v>0</v>
      </c>
      <c r="Q31" s="16"/>
    </row>
    <row r="32" spans="1:17">
      <c r="A32" s="15"/>
      <c r="B32" s="19"/>
      <c r="C32" s="19"/>
      <c r="D32" s="19"/>
      <c r="E32" s="19"/>
      <c r="F32" s="19"/>
      <c r="G32" s="19"/>
      <c r="H32" s="19"/>
      <c r="I32" s="19"/>
      <c r="J32" s="19"/>
      <c r="K32" s="19"/>
      <c r="L32" s="16"/>
      <c r="M32" s="16"/>
      <c r="N32" s="16"/>
      <c r="O32" s="16"/>
      <c r="P32" s="16"/>
      <c r="Q32" s="19"/>
    </row>
    <row r="33" spans="1:17">
      <c r="A33" s="15" t="s">
        <v>415</v>
      </c>
      <c r="B33" s="19"/>
      <c r="C33" s="19"/>
      <c r="D33" s="19"/>
      <c r="E33" s="19"/>
      <c r="F33" s="19"/>
      <c r="G33" s="19"/>
      <c r="H33" s="19"/>
      <c r="I33" s="19"/>
      <c r="J33" s="19"/>
      <c r="K33" s="19"/>
      <c r="L33" s="29">
        <f>SUM(L24:L31)</f>
        <v>506980.08900000009</v>
      </c>
      <c r="M33" s="191">
        <f>SUM(M24:M31)</f>
        <v>17237323.026000004</v>
      </c>
      <c r="N33" s="32">
        <f>SUM(N24:N31)</f>
        <v>22110</v>
      </c>
      <c r="O33" s="19" t="s">
        <v>416</v>
      </c>
      <c r="P33" s="19"/>
      <c r="Q33" s="19"/>
    </row>
    <row r="34" spans="1:17">
      <c r="A34" s="15"/>
      <c r="B34" s="19"/>
      <c r="C34" s="19"/>
      <c r="D34" s="19"/>
      <c r="E34" s="19"/>
      <c r="F34" s="19"/>
      <c r="G34" s="19"/>
      <c r="H34" s="19"/>
      <c r="I34" s="19"/>
      <c r="J34" s="19"/>
      <c r="K34" s="19"/>
      <c r="L34" s="19"/>
      <c r="M34" s="19"/>
      <c r="N34" s="19"/>
      <c r="O34" s="19"/>
      <c r="P34" s="19"/>
      <c r="Q34" s="19"/>
    </row>
    <row r="35" spans="1:17">
      <c r="A35" s="4"/>
      <c r="B35" s="9"/>
      <c r="C35" s="9"/>
      <c r="D35" s="9"/>
      <c r="E35" s="9"/>
      <c r="F35" s="9"/>
      <c r="G35" s="9"/>
      <c r="H35" s="9"/>
      <c r="I35" s="9"/>
      <c r="J35" s="9"/>
      <c r="K35" s="9"/>
      <c r="L35" s="19"/>
      <c r="M35" s="19"/>
      <c r="N35" s="19"/>
      <c r="O35" s="19"/>
      <c r="P35" s="19"/>
      <c r="Q35" s="9"/>
    </row>
  </sheetData>
  <mergeCells count="11">
    <mergeCell ref="P4:P5"/>
    <mergeCell ref="C4:C5"/>
    <mergeCell ref="I4:I5"/>
    <mergeCell ref="M4:M5"/>
    <mergeCell ref="N4:N5"/>
    <mergeCell ref="O4:O5"/>
    <mergeCell ref="I22:I23"/>
    <mergeCell ref="M22:M23"/>
    <mergeCell ref="N22:N23"/>
    <mergeCell ref="O22:O23"/>
    <mergeCell ref="P22:P23"/>
  </mergeCells>
  <pageMargins left="0.7" right="0.7" top="0.75" bottom="0.75" header="0.3" footer="0.3"/>
  <pageSetup paperSize="9" scale="75"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'WW and FSM data'!$H$9:$H$18</xm:f>
          </x14:formula1>
          <xm:sqref>A6:A13 A24:A31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Q35"/>
  <sheetViews>
    <sheetView zoomScale="110" zoomScaleNormal="110" workbookViewId="0">
      <selection activeCell="I33" sqref="I33"/>
    </sheetView>
  </sheetViews>
  <sheetFormatPr defaultRowHeight="12.6"/>
  <cols>
    <col min="1" max="1" width="18" customWidth="1"/>
    <col min="2" max="2" width="11.7109375" customWidth="1"/>
    <col min="3" max="3" width="10.85546875" bestFit="1" customWidth="1"/>
    <col min="4" max="4" width="11.42578125" bestFit="1" customWidth="1"/>
    <col min="7" max="7" width="11.42578125" bestFit="1" customWidth="1"/>
    <col min="12" max="12" width="10" bestFit="1" customWidth="1"/>
    <col min="13" max="13" width="14.28515625" customWidth="1"/>
  </cols>
  <sheetData>
    <row r="1" spans="1:17">
      <c r="A1" s="14" t="s">
        <v>384</v>
      </c>
      <c r="B1" s="14" t="s">
        <v>385</v>
      </c>
      <c r="C1" s="15"/>
      <c r="D1" s="16">
        <f>+'Basic Data Input'!L5*'WW and FSM data'!B27</f>
        <v>144000</v>
      </c>
      <c r="E1" s="15"/>
      <c r="F1" s="15"/>
      <c r="G1" s="17"/>
      <c r="H1" s="17"/>
      <c r="I1" s="17"/>
      <c r="J1" s="17"/>
      <c r="K1" s="17"/>
      <c r="L1" s="17"/>
      <c r="M1" s="17"/>
      <c r="N1" s="17"/>
      <c r="O1" s="17"/>
      <c r="P1" s="17"/>
      <c r="Q1" s="17"/>
    </row>
    <row r="2" spans="1:17">
      <c r="A2" s="15"/>
      <c r="B2" s="14" t="s">
        <v>386</v>
      </c>
      <c r="C2" s="15"/>
      <c r="D2" s="15">
        <f>+'WW and FSM data'!I3</f>
        <v>25.62</v>
      </c>
      <c r="E2" s="14" t="s">
        <v>332</v>
      </c>
      <c r="F2" s="15"/>
      <c r="G2" s="17"/>
      <c r="H2" s="17"/>
      <c r="I2" s="17"/>
      <c r="J2" s="17"/>
      <c r="K2" s="17"/>
      <c r="L2" s="17"/>
      <c r="M2" s="17"/>
      <c r="N2" s="17"/>
      <c r="O2" s="17"/>
      <c r="P2" s="17"/>
      <c r="Q2" s="17"/>
    </row>
    <row r="3" spans="1:17">
      <c r="A3" s="15"/>
      <c r="B3" s="14"/>
      <c r="C3" s="15"/>
      <c r="D3" s="15">
        <f>+D2/365</f>
        <v>7.0191780821917807E-2</v>
      </c>
      <c r="E3" s="14" t="s">
        <v>387</v>
      </c>
      <c r="F3" s="15"/>
      <c r="G3" s="17"/>
      <c r="H3" s="17"/>
      <c r="I3" s="17"/>
      <c r="J3" s="17"/>
      <c r="K3" s="17"/>
      <c r="L3" s="17"/>
      <c r="M3" s="17"/>
      <c r="N3" s="17"/>
      <c r="O3" s="17"/>
      <c r="P3" s="17"/>
      <c r="Q3" s="17"/>
    </row>
    <row r="4" spans="1:17" ht="13.15" customHeight="1">
      <c r="A4" s="15" t="s">
        <v>388</v>
      </c>
      <c r="B4" s="14" t="s">
        <v>389</v>
      </c>
      <c r="C4" s="437" t="s">
        <v>390</v>
      </c>
      <c r="D4" s="22" t="s">
        <v>36</v>
      </c>
      <c r="E4" s="7" t="s">
        <v>391</v>
      </c>
      <c r="F4" s="30" t="s">
        <v>392</v>
      </c>
      <c r="G4" s="7" t="s">
        <v>393</v>
      </c>
      <c r="H4" s="7" t="s">
        <v>394</v>
      </c>
      <c r="I4" s="437" t="s">
        <v>395</v>
      </c>
      <c r="J4" s="11" t="s">
        <v>396</v>
      </c>
      <c r="K4" s="11" t="s">
        <v>397</v>
      </c>
      <c r="L4" s="7" t="s">
        <v>398</v>
      </c>
      <c r="M4" s="437" t="s">
        <v>399</v>
      </c>
      <c r="N4" s="437" t="s">
        <v>400</v>
      </c>
      <c r="O4" s="437" t="s">
        <v>401</v>
      </c>
      <c r="P4" s="437" t="s">
        <v>402</v>
      </c>
      <c r="Q4" s="14"/>
    </row>
    <row r="5" spans="1:17" ht="21">
      <c r="A5" s="15"/>
      <c r="B5" s="24" t="s">
        <v>332</v>
      </c>
      <c r="C5" s="437"/>
      <c r="D5" s="23" t="s">
        <v>403</v>
      </c>
      <c r="E5" s="7" t="s">
        <v>349</v>
      </c>
      <c r="F5" s="7" t="s">
        <v>1</v>
      </c>
      <c r="G5" s="7" t="s">
        <v>1</v>
      </c>
      <c r="H5" s="7" t="s">
        <v>1</v>
      </c>
      <c r="I5" s="437"/>
      <c r="J5" s="11"/>
      <c r="K5" s="11"/>
      <c r="L5" s="8" t="s">
        <v>404</v>
      </c>
      <c r="M5" s="437"/>
      <c r="N5" s="437"/>
      <c r="O5" s="437"/>
      <c r="P5" s="437"/>
      <c r="Q5" s="14"/>
    </row>
    <row r="6" spans="1:17">
      <c r="A6" s="310" t="s">
        <v>360</v>
      </c>
      <c r="B6" s="15">
        <f>IF(A6="Bla*", 0,D2)</f>
        <v>25.62</v>
      </c>
      <c r="C6" s="25">
        <f>+D1+N33</f>
        <v>154890</v>
      </c>
      <c r="D6" s="19">
        <f>VLOOKUP($A6, 'WW and FSM data'!$H$9:$P$18, 4, FALSE)</f>
        <v>0.125</v>
      </c>
      <c r="E6" s="20">
        <f>VLOOKUP($A6, 'WW and FSM data'!$H$9:$P$18, 5, FALSE)</f>
        <v>0</v>
      </c>
      <c r="F6" s="21">
        <f>VLOOKUP($A6, 'WW and FSM data'!$H$9:$P$18, 6, FALSE)</f>
        <v>0</v>
      </c>
      <c r="G6" s="21">
        <f>VLOOKUP($A6, 'WW and FSM data'!$H$9:$P$18, 7, FALSE)</f>
        <v>0</v>
      </c>
      <c r="H6" s="21">
        <f>VLOOKUP($A6, 'WW and FSM data'!$H$9:$P$18, 8, FALSE)</f>
        <v>0</v>
      </c>
      <c r="I6" s="21">
        <f>VLOOKUP($A6, 'WW and FSM data'!$H$9:$P$18, 9, FALSE)</f>
        <v>0</v>
      </c>
      <c r="J6" s="16">
        <f>+C6*D6</f>
        <v>19361.25</v>
      </c>
      <c r="K6" s="16">
        <f>+B6*(1-(F6+G6+H6))</f>
        <v>25.62</v>
      </c>
      <c r="L6" s="26">
        <f>+J6*K6</f>
        <v>496035.22500000003</v>
      </c>
      <c r="M6" s="16">
        <f>+L6*'Basic Data Input'!$K$26</f>
        <v>16865197.650000002</v>
      </c>
      <c r="N6" s="16">
        <f t="shared" ref="N6:N13" si="0">IF(A6="Drying Beds", 0,+C6*F6)</f>
        <v>0</v>
      </c>
      <c r="O6" s="16">
        <f t="shared" ref="O6:O13" si="1">+C6-N6</f>
        <v>154890</v>
      </c>
      <c r="P6" s="26">
        <f t="shared" ref="P6:P13" si="2">+B6*(1-I6)</f>
        <v>25.62</v>
      </c>
      <c r="Q6" s="16"/>
    </row>
    <row r="7" spans="1:17">
      <c r="A7" s="310" t="s">
        <v>361</v>
      </c>
      <c r="B7" s="27">
        <f t="shared" ref="B7:B13" si="3">IF(ISNUMBER(SEARCH("Bla", A7)), 0, IF(A7="Drying Beds",D1,P6))</f>
        <v>0</v>
      </c>
      <c r="C7" s="27">
        <f>IF(ISNUMBER(SEARCH("Bla", A7)), 0, IF(A7="Drying Beds",N14,O6))</f>
        <v>0</v>
      </c>
      <c r="D7" s="19">
        <f>VLOOKUP($A7, 'WW and FSM data'!$H$9:$P$18, 4, FALSE)</f>
        <v>0</v>
      </c>
      <c r="E7" s="20">
        <f>VLOOKUP($A7, 'WW and FSM data'!$H$9:$P$18, 5, FALSE)</f>
        <v>0</v>
      </c>
      <c r="F7" s="21">
        <f>VLOOKUP($A7, 'WW and FSM data'!$H$9:$P$18, 6, FALSE)</f>
        <v>0</v>
      </c>
      <c r="G7" s="21">
        <f>VLOOKUP($A7, 'WW and FSM data'!$H$9:$P$18, 7, FALSE)</f>
        <v>0</v>
      </c>
      <c r="H7" s="21">
        <f>VLOOKUP($A7, 'WW and FSM data'!$H$9:$P$18, 8, FALSE)</f>
        <v>0</v>
      </c>
      <c r="I7" s="21">
        <f>VLOOKUP($A7, 'WW and FSM data'!$H$9:$P$18, 9, FALSE)</f>
        <v>0</v>
      </c>
      <c r="J7" s="16">
        <f t="shared" ref="J7:J13" si="4">+C7*D7</f>
        <v>0</v>
      </c>
      <c r="K7" s="16">
        <f t="shared" ref="K7:K13" si="5">+B7*(1-(F7+G7+H7))</f>
        <v>0</v>
      </c>
      <c r="L7" s="26">
        <f t="shared" ref="L7:L13" si="6">+J7*K7</f>
        <v>0</v>
      </c>
      <c r="M7" s="16">
        <f>+L7*'Basic Data Input'!$K$26</f>
        <v>0</v>
      </c>
      <c r="N7" s="16">
        <f t="shared" si="0"/>
        <v>0</v>
      </c>
      <c r="O7" s="16">
        <f t="shared" si="1"/>
        <v>0</v>
      </c>
      <c r="P7" s="26">
        <f t="shared" si="2"/>
        <v>0</v>
      </c>
      <c r="Q7" s="16"/>
    </row>
    <row r="8" spans="1:17">
      <c r="A8" s="310" t="s">
        <v>365</v>
      </c>
      <c r="B8" s="27">
        <f t="shared" si="3"/>
        <v>0</v>
      </c>
      <c r="C8" s="27">
        <f>IF(ISNUMBER(SEARCH("Bla", A8)), 0, IF(A8="Drying Beds",N15,O7))</f>
        <v>0</v>
      </c>
      <c r="D8" s="19">
        <f>VLOOKUP($A8, 'WW and FSM data'!$H$9:$P$18, 4, FALSE)</f>
        <v>0</v>
      </c>
      <c r="E8" s="20">
        <f>VLOOKUP($A8, 'WW and FSM data'!$H$9:$P$18, 5, FALSE)</f>
        <v>0</v>
      </c>
      <c r="F8" s="21">
        <f>VLOOKUP($A8, 'WW and FSM data'!$H$9:$P$18, 6, FALSE)</f>
        <v>0</v>
      </c>
      <c r="G8" s="21">
        <f>VLOOKUP($A8, 'WW and FSM data'!$H$9:$P$18, 7, FALSE)</f>
        <v>0</v>
      </c>
      <c r="H8" s="21">
        <f>VLOOKUP($A8, 'WW and FSM data'!$H$9:$P$18, 8, FALSE)</f>
        <v>0</v>
      </c>
      <c r="I8" s="21">
        <f>VLOOKUP($A8, 'WW and FSM data'!$H$9:$P$18, 9, FALSE)</f>
        <v>0</v>
      </c>
      <c r="J8" s="16">
        <f t="shared" si="4"/>
        <v>0</v>
      </c>
      <c r="K8" s="16">
        <f t="shared" si="5"/>
        <v>0</v>
      </c>
      <c r="L8" s="26">
        <f t="shared" si="6"/>
        <v>0</v>
      </c>
      <c r="M8" s="16">
        <f>+L8*'Basic Data Input'!$K$26</f>
        <v>0</v>
      </c>
      <c r="N8" s="16">
        <f t="shared" si="0"/>
        <v>0</v>
      </c>
      <c r="O8" s="16">
        <f t="shared" si="1"/>
        <v>0</v>
      </c>
      <c r="P8" s="26">
        <f t="shared" si="2"/>
        <v>0</v>
      </c>
      <c r="Q8" s="16"/>
    </row>
    <row r="9" spans="1:17">
      <c r="A9" s="310" t="s">
        <v>366</v>
      </c>
      <c r="B9" s="27">
        <f t="shared" si="3"/>
        <v>0</v>
      </c>
      <c r="C9" s="27">
        <f t="shared" ref="C9:C13" si="7">IF(ISNUMBER(SEARCH("Bla", A9)), 0, IF(A9="Drying Beds",N16,O8))</f>
        <v>0</v>
      </c>
      <c r="D9" s="19">
        <f>VLOOKUP($A9, 'WW and FSM data'!$H$9:$P$18, 4, FALSE)</f>
        <v>0</v>
      </c>
      <c r="E9" s="20">
        <f>VLOOKUP($A9, 'WW and FSM data'!$H$9:$P$18, 5, FALSE)</f>
        <v>0</v>
      </c>
      <c r="F9" s="21">
        <f>VLOOKUP($A9, 'WW and FSM data'!$H$9:$P$18, 6, FALSE)</f>
        <v>0</v>
      </c>
      <c r="G9" s="21">
        <f>VLOOKUP($A9, 'WW and FSM data'!$H$9:$P$18, 7, FALSE)</f>
        <v>0</v>
      </c>
      <c r="H9" s="21">
        <f>VLOOKUP($A9, 'WW and FSM data'!$H$9:$P$18, 8, FALSE)</f>
        <v>0</v>
      </c>
      <c r="I9" s="21">
        <f>VLOOKUP($A9, 'WW and FSM data'!$H$9:$P$18, 9, FALSE)</f>
        <v>0</v>
      </c>
      <c r="J9" s="16">
        <f t="shared" si="4"/>
        <v>0</v>
      </c>
      <c r="K9" s="16">
        <f t="shared" si="5"/>
        <v>0</v>
      </c>
      <c r="L9" s="26">
        <f t="shared" si="6"/>
        <v>0</v>
      </c>
      <c r="M9" s="16">
        <f>+L9*'Basic Data Input'!$K$26</f>
        <v>0</v>
      </c>
      <c r="N9" s="16">
        <f t="shared" si="0"/>
        <v>0</v>
      </c>
      <c r="O9" s="16">
        <f t="shared" si="1"/>
        <v>0</v>
      </c>
      <c r="P9" s="26">
        <f t="shared" si="2"/>
        <v>0</v>
      </c>
      <c r="Q9" s="16"/>
    </row>
    <row r="10" spans="1:17">
      <c r="A10" s="310" t="s">
        <v>366</v>
      </c>
      <c r="B10" s="27">
        <f t="shared" si="3"/>
        <v>0</v>
      </c>
      <c r="C10" s="27">
        <f t="shared" si="7"/>
        <v>0</v>
      </c>
      <c r="D10" s="19">
        <f>VLOOKUP($A10, 'WW and FSM data'!$H$9:$P$18, 4, FALSE)</f>
        <v>0</v>
      </c>
      <c r="E10" s="20">
        <f>VLOOKUP($A10, 'WW and FSM data'!$H$9:$P$18, 5, FALSE)</f>
        <v>0</v>
      </c>
      <c r="F10" s="21">
        <f>VLOOKUP($A10, 'WW and FSM data'!$H$9:$P$18, 6, FALSE)</f>
        <v>0</v>
      </c>
      <c r="G10" s="21">
        <f>VLOOKUP($A10, 'WW and FSM data'!$H$9:$P$18, 7, FALSE)</f>
        <v>0</v>
      </c>
      <c r="H10" s="21">
        <f>VLOOKUP($A10, 'WW and FSM data'!$H$9:$P$18, 8, FALSE)</f>
        <v>0</v>
      </c>
      <c r="I10" s="21">
        <f>VLOOKUP($A10, 'WW and FSM data'!$H$9:$P$18, 9, FALSE)</f>
        <v>0</v>
      </c>
      <c r="J10" s="16">
        <f t="shared" si="4"/>
        <v>0</v>
      </c>
      <c r="K10" s="16">
        <f t="shared" si="5"/>
        <v>0</v>
      </c>
      <c r="L10" s="26">
        <f t="shared" si="6"/>
        <v>0</v>
      </c>
      <c r="M10" s="16">
        <f>+L10*'Basic Data Input'!$K$26</f>
        <v>0</v>
      </c>
      <c r="N10" s="16">
        <f t="shared" si="0"/>
        <v>0</v>
      </c>
      <c r="O10" s="16">
        <f t="shared" si="1"/>
        <v>0</v>
      </c>
      <c r="P10" s="26">
        <f t="shared" si="2"/>
        <v>0</v>
      </c>
      <c r="Q10" s="16"/>
    </row>
    <row r="11" spans="1:17">
      <c r="A11" s="310" t="s">
        <v>366</v>
      </c>
      <c r="B11" s="27">
        <f t="shared" si="3"/>
        <v>0</v>
      </c>
      <c r="C11" s="27">
        <f t="shared" si="7"/>
        <v>0</v>
      </c>
      <c r="D11" s="19">
        <f>VLOOKUP($A11, 'WW and FSM data'!$H$9:$P$18, 4, FALSE)</f>
        <v>0</v>
      </c>
      <c r="E11" s="20">
        <f>VLOOKUP($A11, 'WW and FSM data'!$H$9:$P$18, 5, FALSE)</f>
        <v>0</v>
      </c>
      <c r="F11" s="21">
        <f>VLOOKUP($A11, 'WW and FSM data'!$H$9:$P$18, 6, FALSE)</f>
        <v>0</v>
      </c>
      <c r="G11" s="21">
        <f>VLOOKUP($A11, 'WW and FSM data'!$H$9:$P$18, 7, FALSE)</f>
        <v>0</v>
      </c>
      <c r="H11" s="21">
        <f>VLOOKUP($A11, 'WW and FSM data'!$H$9:$P$18, 8, FALSE)</f>
        <v>0</v>
      </c>
      <c r="I11" s="21">
        <f>VLOOKUP($A11, 'WW and FSM data'!$H$9:$P$18, 9, FALSE)</f>
        <v>0</v>
      </c>
      <c r="J11" s="16">
        <f t="shared" si="4"/>
        <v>0</v>
      </c>
      <c r="K11" s="16">
        <f t="shared" si="5"/>
        <v>0</v>
      </c>
      <c r="L11" s="26">
        <f t="shared" si="6"/>
        <v>0</v>
      </c>
      <c r="M11" s="16">
        <f>+L11*'Basic Data Input'!$K$26</f>
        <v>0</v>
      </c>
      <c r="N11" s="16">
        <f t="shared" si="0"/>
        <v>0</v>
      </c>
      <c r="O11" s="16">
        <f t="shared" si="1"/>
        <v>0</v>
      </c>
      <c r="P11" s="26">
        <f t="shared" si="2"/>
        <v>0</v>
      </c>
      <c r="Q11" s="16"/>
    </row>
    <row r="12" spans="1:17">
      <c r="A12" s="310" t="s">
        <v>366</v>
      </c>
      <c r="B12" s="27">
        <f t="shared" si="3"/>
        <v>0</v>
      </c>
      <c r="C12" s="27">
        <f t="shared" si="7"/>
        <v>0</v>
      </c>
      <c r="D12" s="19">
        <f>VLOOKUP($A12, 'WW and FSM data'!$H$9:$P$18, 4, FALSE)</f>
        <v>0</v>
      </c>
      <c r="E12" s="20">
        <f>VLOOKUP($A12, 'WW and FSM data'!$H$9:$P$18, 5, FALSE)</f>
        <v>0</v>
      </c>
      <c r="F12" s="21">
        <f>VLOOKUP($A12, 'WW and FSM data'!$H$9:$P$18, 6, FALSE)</f>
        <v>0</v>
      </c>
      <c r="G12" s="21">
        <f>VLOOKUP($A12, 'WW and FSM data'!$H$9:$P$18, 7, FALSE)</f>
        <v>0</v>
      </c>
      <c r="H12" s="21">
        <f>VLOOKUP($A12, 'WW and FSM data'!$H$9:$P$18, 8, FALSE)</f>
        <v>0</v>
      </c>
      <c r="I12" s="21">
        <f>VLOOKUP($A12, 'WW and FSM data'!$H$9:$P$18, 9, FALSE)</f>
        <v>0</v>
      </c>
      <c r="J12" s="16">
        <f t="shared" si="4"/>
        <v>0</v>
      </c>
      <c r="K12" s="16">
        <f t="shared" si="5"/>
        <v>0</v>
      </c>
      <c r="L12" s="26">
        <f t="shared" si="6"/>
        <v>0</v>
      </c>
      <c r="M12" s="16">
        <f>+L12*'Basic Data Input'!$K$26</f>
        <v>0</v>
      </c>
      <c r="N12" s="16">
        <f t="shared" si="0"/>
        <v>0</v>
      </c>
      <c r="O12" s="16">
        <f t="shared" si="1"/>
        <v>0</v>
      </c>
      <c r="P12" s="26">
        <f t="shared" si="2"/>
        <v>0</v>
      </c>
      <c r="Q12" s="16"/>
    </row>
    <row r="13" spans="1:17">
      <c r="A13" s="310" t="s">
        <v>366</v>
      </c>
      <c r="B13" s="27">
        <f t="shared" si="3"/>
        <v>0</v>
      </c>
      <c r="C13" s="27">
        <f t="shared" si="7"/>
        <v>0</v>
      </c>
      <c r="D13" s="19">
        <f>VLOOKUP($A13, 'WW and FSM data'!$H$9:$P$18, 4, FALSE)</f>
        <v>0</v>
      </c>
      <c r="E13" s="20">
        <f>VLOOKUP($A13, 'WW and FSM data'!$H$9:$P$18, 5, FALSE)</f>
        <v>0</v>
      </c>
      <c r="F13" s="21">
        <f>VLOOKUP($A13, 'WW and FSM data'!$H$9:$P$18, 6, FALSE)</f>
        <v>0</v>
      </c>
      <c r="G13" s="21">
        <f>VLOOKUP($A13, 'WW and FSM data'!$H$9:$P$18, 7, FALSE)</f>
        <v>0</v>
      </c>
      <c r="H13" s="21">
        <f>VLOOKUP($A13, 'WW and FSM data'!$H$9:$P$18, 8, FALSE)</f>
        <v>0</v>
      </c>
      <c r="I13" s="21">
        <f>VLOOKUP($A13, 'WW and FSM data'!$H$9:$P$18, 9, FALSE)</f>
        <v>0</v>
      </c>
      <c r="J13" s="16">
        <f t="shared" si="4"/>
        <v>0</v>
      </c>
      <c r="K13" s="16">
        <f t="shared" si="5"/>
        <v>0</v>
      </c>
      <c r="L13" s="26">
        <f t="shared" si="6"/>
        <v>0</v>
      </c>
      <c r="M13" s="16">
        <f>+L13*'Basic Data Input'!$K$26</f>
        <v>0</v>
      </c>
      <c r="N13" s="16">
        <f t="shared" si="0"/>
        <v>0</v>
      </c>
      <c r="O13" s="16">
        <f t="shared" si="1"/>
        <v>0</v>
      </c>
      <c r="P13" s="26">
        <f t="shared" si="2"/>
        <v>0</v>
      </c>
      <c r="Q13" s="16"/>
    </row>
    <row r="14" spans="1:17">
      <c r="A14" s="15" t="s">
        <v>417</v>
      </c>
      <c r="B14" s="4"/>
      <c r="C14" s="4"/>
      <c r="D14" s="19"/>
      <c r="E14" s="19"/>
      <c r="F14" s="19"/>
      <c r="G14" s="19"/>
      <c r="H14" s="19"/>
      <c r="I14" s="19"/>
      <c r="J14" s="19"/>
      <c r="K14" s="19"/>
      <c r="L14" s="16"/>
      <c r="M14" s="16"/>
      <c r="N14" s="16"/>
      <c r="O14" s="16"/>
      <c r="P14" s="16"/>
      <c r="Q14" s="16"/>
    </row>
    <row r="15" spans="1:17">
      <c r="A15" s="15"/>
      <c r="B15" s="19"/>
      <c r="C15" s="19"/>
      <c r="D15" s="19"/>
      <c r="E15" s="19"/>
      <c r="F15" s="19"/>
      <c r="G15" s="19"/>
      <c r="H15" s="19"/>
      <c r="I15" s="19"/>
      <c r="J15" s="19"/>
      <c r="K15" s="19"/>
      <c r="L15" s="29">
        <f>SUM(L6:L13)</f>
        <v>496035.22500000003</v>
      </c>
      <c r="M15" s="191">
        <f>SUM(M6:M13)</f>
        <v>16865197.650000002</v>
      </c>
      <c r="N15" s="32">
        <f>SUM(N6:N13)</f>
        <v>0</v>
      </c>
      <c r="O15" s="19" t="s">
        <v>407</v>
      </c>
      <c r="P15" s="19"/>
      <c r="Q15" s="19"/>
    </row>
    <row r="16" spans="1:17">
      <c r="A16" s="34" t="s">
        <v>408</v>
      </c>
      <c r="B16" s="19"/>
      <c r="C16" s="19"/>
      <c r="D16" s="19"/>
      <c r="E16" s="19"/>
      <c r="F16" s="19"/>
      <c r="G16" s="19"/>
      <c r="H16" s="19"/>
      <c r="I16" s="19"/>
      <c r="J16" s="19"/>
      <c r="K16" s="19"/>
      <c r="L16" s="19"/>
      <c r="M16" s="19"/>
      <c r="N16" s="19"/>
      <c r="O16" s="19"/>
      <c r="P16" s="19"/>
      <c r="Q16" s="19"/>
    </row>
    <row r="17" spans="1:17">
      <c r="A17" s="15"/>
      <c r="B17" s="19"/>
      <c r="C17" s="19"/>
      <c r="D17" s="19"/>
      <c r="E17" s="19"/>
      <c r="F17" s="19"/>
      <c r="G17" s="19"/>
      <c r="H17" s="19"/>
      <c r="I17" s="19"/>
      <c r="J17" s="19"/>
      <c r="K17" s="19"/>
      <c r="L17" s="19"/>
      <c r="M17" s="19"/>
      <c r="N17" s="19"/>
      <c r="O17" s="19"/>
      <c r="P17" s="19"/>
      <c r="Q17" s="19"/>
    </row>
    <row r="19" spans="1:17">
      <c r="A19" s="14" t="s">
        <v>334</v>
      </c>
      <c r="B19" s="14" t="s">
        <v>409</v>
      </c>
      <c r="C19" s="15"/>
      <c r="D19" s="33">
        <f>+'Basic Data Input'!L7/'Basic Data Input'!K16*'WW and FSM data'!B28</f>
        <v>54450</v>
      </c>
      <c r="E19" s="14"/>
      <c r="F19" s="15"/>
      <c r="G19" s="17"/>
      <c r="H19" s="17"/>
      <c r="I19" s="17"/>
      <c r="J19" s="17"/>
      <c r="K19" s="17"/>
      <c r="L19" s="17"/>
      <c r="M19" s="17"/>
      <c r="N19" s="17"/>
      <c r="O19" s="17"/>
      <c r="P19" s="17"/>
      <c r="Q19" s="17"/>
    </row>
    <row r="20" spans="1:17">
      <c r="A20" s="15"/>
      <c r="B20" s="14" t="s">
        <v>386</v>
      </c>
      <c r="C20" s="15"/>
      <c r="D20" s="15">
        <f>+'WW and FSM data'!I4</f>
        <v>25.62</v>
      </c>
      <c r="E20" s="14" t="s">
        <v>332</v>
      </c>
      <c r="F20" s="15"/>
      <c r="G20" s="17"/>
      <c r="H20" s="17"/>
      <c r="I20" s="17"/>
      <c r="J20" s="17"/>
      <c r="K20" s="17"/>
      <c r="L20" s="17"/>
      <c r="M20" s="17"/>
      <c r="N20" s="17"/>
      <c r="O20" s="17"/>
      <c r="P20" s="17"/>
      <c r="Q20" s="17"/>
    </row>
    <row r="21" spans="1:17">
      <c r="A21" s="15"/>
      <c r="B21" s="14"/>
      <c r="C21" s="15"/>
      <c r="D21" s="15">
        <f>+D20/365</f>
        <v>7.0191780821917807E-2</v>
      </c>
      <c r="E21" s="14" t="s">
        <v>387</v>
      </c>
      <c r="F21" s="15"/>
      <c r="G21" s="17"/>
      <c r="H21" s="17"/>
      <c r="I21" s="17"/>
      <c r="J21" s="17"/>
      <c r="K21" s="17"/>
      <c r="L21" s="17"/>
      <c r="M21" s="17"/>
      <c r="N21" s="17"/>
      <c r="O21" s="17"/>
      <c r="P21" s="17"/>
      <c r="Q21" s="17"/>
    </row>
    <row r="22" spans="1:17" ht="13.15" customHeight="1">
      <c r="A22" s="18" t="s">
        <v>410</v>
      </c>
      <c r="B22" s="14" t="s">
        <v>389</v>
      </c>
      <c r="C22" s="14" t="s">
        <v>411</v>
      </c>
      <c r="D22" s="22" t="s">
        <v>36</v>
      </c>
      <c r="E22" s="7" t="s">
        <v>391</v>
      </c>
      <c r="F22" s="7" t="s">
        <v>392</v>
      </c>
      <c r="G22" s="7" t="s">
        <v>393</v>
      </c>
      <c r="H22" s="7" t="s">
        <v>394</v>
      </c>
      <c r="I22" s="437" t="s">
        <v>412</v>
      </c>
      <c r="J22" s="11" t="s">
        <v>396</v>
      </c>
      <c r="K22" s="11" t="s">
        <v>413</v>
      </c>
      <c r="L22" s="7" t="s">
        <v>398</v>
      </c>
      <c r="M22" s="437" t="s">
        <v>399</v>
      </c>
      <c r="N22" s="437" t="s">
        <v>414</v>
      </c>
      <c r="O22" s="437" t="s">
        <v>401</v>
      </c>
      <c r="P22" s="437" t="s">
        <v>402</v>
      </c>
      <c r="Q22" s="14"/>
    </row>
    <row r="23" spans="1:17" ht="21">
      <c r="A23" s="316"/>
      <c r="B23" s="24" t="s">
        <v>332</v>
      </c>
      <c r="C23" s="14"/>
      <c r="D23" s="23" t="s">
        <v>403</v>
      </c>
      <c r="E23" s="7" t="s">
        <v>349</v>
      </c>
      <c r="F23" s="7" t="s">
        <v>1</v>
      </c>
      <c r="G23" s="7" t="s">
        <v>1</v>
      </c>
      <c r="H23" s="7" t="s">
        <v>1</v>
      </c>
      <c r="I23" s="437"/>
      <c r="J23" s="11"/>
      <c r="K23" s="11"/>
      <c r="L23" s="8" t="s">
        <v>404</v>
      </c>
      <c r="M23" s="437"/>
      <c r="N23" s="437"/>
      <c r="O23" s="437"/>
      <c r="P23" s="437"/>
      <c r="Q23" s="14"/>
    </row>
    <row r="24" spans="1:17">
      <c r="A24" s="310" t="s">
        <v>356</v>
      </c>
      <c r="B24" s="15">
        <f>+D20</f>
        <v>25.62</v>
      </c>
      <c r="C24" s="31">
        <f>+D19</f>
        <v>54450</v>
      </c>
      <c r="D24" s="19">
        <f>VLOOKUP($A24, 'WW and FSM data'!$H$9:$P$18, 4, FALSE)</f>
        <v>0.22500000000000001</v>
      </c>
      <c r="E24" s="20">
        <f>VLOOKUP($A24, 'WW and FSM data'!$H$9:$P$18, 5, FALSE)</f>
        <v>15</v>
      </c>
      <c r="F24" s="21">
        <f>VLOOKUP($A24, 'WW and FSM data'!$H$9:$P$18, 6, FALSE)</f>
        <v>0</v>
      </c>
      <c r="G24" s="21">
        <v>0.2</v>
      </c>
      <c r="H24" s="21">
        <f>VLOOKUP($A24, 'WW and FSM data'!$H$9:$P$18, 8, FALSE)</f>
        <v>0</v>
      </c>
      <c r="I24" s="21">
        <f>VLOOKUP($A24, 'WW and FSM data'!$H$9:$P$18, 9, FALSE)</f>
        <v>0.6</v>
      </c>
      <c r="J24" s="16">
        <f>+C24*D24</f>
        <v>12251.25</v>
      </c>
      <c r="K24" s="16">
        <f>+B24*(1-(F24+G24+H24))</f>
        <v>20.496000000000002</v>
      </c>
      <c r="L24" s="16">
        <f t="shared" ref="L24:L31" si="8">+((B24+P24)/2)*C24*D24</f>
        <v>219713.91750000001</v>
      </c>
      <c r="M24" s="16">
        <f>+L24*'Basic Data Input'!$K$26</f>
        <v>7470273.1950000003</v>
      </c>
      <c r="N24" s="16">
        <f>+C24*G24</f>
        <v>10890</v>
      </c>
      <c r="O24" s="16">
        <f t="shared" ref="O24:O31" si="9">+C24-N24</f>
        <v>43560</v>
      </c>
      <c r="P24" s="26">
        <f t="shared" ref="P24:P31" si="10">+B24*(1-I24)</f>
        <v>10.248000000000001</v>
      </c>
      <c r="Q24" s="16"/>
    </row>
    <row r="25" spans="1:17">
      <c r="A25" s="310" t="s">
        <v>355</v>
      </c>
      <c r="B25" s="27">
        <f t="shared" ref="B25:B31" si="11">IF(ISNUMBER(SEARCH("Bla", A25)), 0, P24)</f>
        <v>10.248000000000001</v>
      </c>
      <c r="C25" s="25">
        <f>IF(ISNUMBER(SEARCH("Bla", A25)), 0, O24)</f>
        <v>43560</v>
      </c>
      <c r="D25" s="19">
        <f>VLOOKUP($A25, 'WW and FSM data'!$H$9:$P$18, 4, FALSE)</f>
        <v>6.25E-2</v>
      </c>
      <c r="E25" s="20">
        <f>VLOOKUP($A25, 'WW and FSM data'!$H$9:$P$18, 5, FALSE)</f>
        <v>90</v>
      </c>
      <c r="F25" s="21">
        <f>VLOOKUP($A25, 'WW and FSM data'!$H$9:$P$18, 6, FALSE)</f>
        <v>0</v>
      </c>
      <c r="G25" s="21">
        <f>VLOOKUP($A25, 'WW and FSM data'!$H$9:$P$18, 7, FALSE)</f>
        <v>0</v>
      </c>
      <c r="H25" s="21">
        <f>VLOOKUP($A25, 'WW and FSM data'!$H$9:$P$18, 8, FALSE)</f>
        <v>0</v>
      </c>
      <c r="I25" s="21">
        <f>VLOOKUP($A25, 'WW and FSM data'!$H$9:$P$18, 9, FALSE)</f>
        <v>0.5</v>
      </c>
      <c r="J25" s="16">
        <f t="shared" ref="J25:J31" si="12">+C25*D25</f>
        <v>2722.5</v>
      </c>
      <c r="K25" s="16">
        <f t="shared" ref="K25:K31" si="13">+B25*(1-(F25+G25+H25))</f>
        <v>10.248000000000001</v>
      </c>
      <c r="L25" s="16">
        <f t="shared" si="8"/>
        <v>20925.135000000002</v>
      </c>
      <c r="M25" s="16">
        <f>+L25*'Basic Data Input'!$K$26</f>
        <v>711454.59000000008</v>
      </c>
      <c r="N25" s="16">
        <f t="shared" ref="N25:N31" si="14">+C25*F25</f>
        <v>0</v>
      </c>
      <c r="O25" s="16">
        <f t="shared" si="9"/>
        <v>43560</v>
      </c>
      <c r="P25" s="26">
        <f t="shared" si="10"/>
        <v>5.1240000000000006</v>
      </c>
      <c r="Q25" s="16"/>
    </row>
    <row r="26" spans="1:17">
      <c r="A26" s="310" t="s">
        <v>361</v>
      </c>
      <c r="B26" s="27">
        <f t="shared" si="11"/>
        <v>0</v>
      </c>
      <c r="C26" s="25">
        <f t="shared" ref="C26:C31" si="15">IF(ISNUMBER(SEARCH("Bla", A26)), 0, O25)</f>
        <v>0</v>
      </c>
      <c r="D26" s="19">
        <f>VLOOKUP($A26, 'WW and FSM data'!$H$9:$P$18, 4, FALSE)</f>
        <v>0</v>
      </c>
      <c r="E26" s="20">
        <f>VLOOKUP($A26, 'WW and FSM data'!$H$9:$P$18, 5, FALSE)</f>
        <v>0</v>
      </c>
      <c r="F26" s="21">
        <f>VLOOKUP($A26, 'WW and FSM data'!$H$9:$P$18, 6, FALSE)</f>
        <v>0</v>
      </c>
      <c r="G26" s="21">
        <f>VLOOKUP($A26, 'WW and FSM data'!$H$9:$P$18, 7, FALSE)</f>
        <v>0</v>
      </c>
      <c r="H26" s="21">
        <f>VLOOKUP($A26, 'WW and FSM data'!$H$9:$P$18, 8, FALSE)</f>
        <v>0</v>
      </c>
      <c r="I26" s="21">
        <f>VLOOKUP($A26, 'WW and FSM data'!$H$9:$P$18, 9, FALSE)</f>
        <v>0</v>
      </c>
      <c r="J26" s="16">
        <f t="shared" si="12"/>
        <v>0</v>
      </c>
      <c r="K26" s="16">
        <f t="shared" si="13"/>
        <v>0</v>
      </c>
      <c r="L26" s="16">
        <f t="shared" si="8"/>
        <v>0</v>
      </c>
      <c r="M26" s="16">
        <f>+L26*'Basic Data Input'!$K$26</f>
        <v>0</v>
      </c>
      <c r="N26" s="16">
        <f t="shared" si="14"/>
        <v>0</v>
      </c>
      <c r="O26" s="16">
        <f t="shared" si="9"/>
        <v>0</v>
      </c>
      <c r="P26" s="26">
        <f t="shared" si="10"/>
        <v>0</v>
      </c>
      <c r="Q26" s="16"/>
    </row>
    <row r="27" spans="1:17">
      <c r="A27" s="310" t="s">
        <v>366</v>
      </c>
      <c r="B27" s="27">
        <f t="shared" si="11"/>
        <v>0</v>
      </c>
      <c r="C27" s="25">
        <f t="shared" si="15"/>
        <v>0</v>
      </c>
      <c r="D27" s="19">
        <f>VLOOKUP($A27, 'WW and FSM data'!$H$9:$P$18, 4, FALSE)</f>
        <v>0</v>
      </c>
      <c r="E27" s="20">
        <f>VLOOKUP($A27, 'WW and FSM data'!$H$9:$P$18, 5, FALSE)</f>
        <v>0</v>
      </c>
      <c r="F27" s="21">
        <f>VLOOKUP($A27, 'WW and FSM data'!$H$9:$P$18, 6, FALSE)</f>
        <v>0</v>
      </c>
      <c r="G27" s="21">
        <f>VLOOKUP($A27, 'WW and FSM data'!$H$9:$P$18, 7, FALSE)</f>
        <v>0</v>
      </c>
      <c r="H27" s="21">
        <f>VLOOKUP($A27, 'WW and FSM data'!$H$9:$P$18, 8, FALSE)</f>
        <v>0</v>
      </c>
      <c r="I27" s="21">
        <f>VLOOKUP($A27, 'WW and FSM data'!$H$9:$P$18, 9, FALSE)</f>
        <v>0</v>
      </c>
      <c r="J27" s="16">
        <f t="shared" si="12"/>
        <v>0</v>
      </c>
      <c r="K27" s="16">
        <f t="shared" si="13"/>
        <v>0</v>
      </c>
      <c r="L27" s="16">
        <f t="shared" si="8"/>
        <v>0</v>
      </c>
      <c r="M27" s="16">
        <f>+L27*'Basic Data Input'!$K$26</f>
        <v>0</v>
      </c>
      <c r="N27" s="16">
        <f t="shared" si="14"/>
        <v>0</v>
      </c>
      <c r="O27" s="16">
        <f t="shared" si="9"/>
        <v>0</v>
      </c>
      <c r="P27" s="26">
        <f t="shared" si="10"/>
        <v>0</v>
      </c>
      <c r="Q27" s="16"/>
    </row>
    <row r="28" spans="1:17">
      <c r="A28" s="310" t="s">
        <v>366</v>
      </c>
      <c r="B28" s="27">
        <f t="shared" si="11"/>
        <v>0</v>
      </c>
      <c r="C28" s="25">
        <f t="shared" si="15"/>
        <v>0</v>
      </c>
      <c r="D28" s="19">
        <f>VLOOKUP($A28, 'WW and FSM data'!$H$9:$P$18, 4, FALSE)</f>
        <v>0</v>
      </c>
      <c r="E28" s="20">
        <f>VLOOKUP($A28, 'WW and FSM data'!$H$9:$P$18, 5, FALSE)</f>
        <v>0</v>
      </c>
      <c r="F28" s="21">
        <f>VLOOKUP($A28, 'WW and FSM data'!$H$9:$P$18, 6, FALSE)</f>
        <v>0</v>
      </c>
      <c r="G28" s="21">
        <f>VLOOKUP($A28, 'WW and FSM data'!$H$9:$P$18, 7, FALSE)</f>
        <v>0</v>
      </c>
      <c r="H28" s="21">
        <f>VLOOKUP($A28, 'WW and FSM data'!$H$9:$P$18, 8, FALSE)</f>
        <v>0</v>
      </c>
      <c r="I28" s="21">
        <f>VLOOKUP($A28, 'WW and FSM data'!$H$9:$P$18, 9, FALSE)</f>
        <v>0</v>
      </c>
      <c r="J28" s="16">
        <f t="shared" si="12"/>
        <v>0</v>
      </c>
      <c r="K28" s="16">
        <f t="shared" si="13"/>
        <v>0</v>
      </c>
      <c r="L28" s="16">
        <f t="shared" si="8"/>
        <v>0</v>
      </c>
      <c r="M28" s="16">
        <f>+L28*'Basic Data Input'!$K$26</f>
        <v>0</v>
      </c>
      <c r="N28" s="16">
        <f t="shared" si="14"/>
        <v>0</v>
      </c>
      <c r="O28" s="16">
        <f t="shared" si="9"/>
        <v>0</v>
      </c>
      <c r="P28" s="26">
        <f t="shared" si="10"/>
        <v>0</v>
      </c>
      <c r="Q28" s="16"/>
    </row>
    <row r="29" spans="1:17">
      <c r="A29" s="310" t="s">
        <v>366</v>
      </c>
      <c r="B29" s="27">
        <f t="shared" si="11"/>
        <v>0</v>
      </c>
      <c r="C29" s="25">
        <f t="shared" si="15"/>
        <v>0</v>
      </c>
      <c r="D29" s="19">
        <f>VLOOKUP($A29, 'WW and FSM data'!$H$9:$P$18, 4, FALSE)</f>
        <v>0</v>
      </c>
      <c r="E29" s="20">
        <f>VLOOKUP($A29, 'WW and FSM data'!$H$9:$P$18, 5, FALSE)</f>
        <v>0</v>
      </c>
      <c r="F29" s="21">
        <f>VLOOKUP($A29, 'WW and FSM data'!$H$9:$P$18, 6, FALSE)</f>
        <v>0</v>
      </c>
      <c r="G29" s="21">
        <f>VLOOKUP($A29, 'WW and FSM data'!$H$9:$P$18, 7, FALSE)</f>
        <v>0</v>
      </c>
      <c r="H29" s="21">
        <f>VLOOKUP($A29, 'WW and FSM data'!$H$9:$P$18, 8, FALSE)</f>
        <v>0</v>
      </c>
      <c r="I29" s="21">
        <f>VLOOKUP($A29, 'WW and FSM data'!$H$9:$P$18, 9, FALSE)</f>
        <v>0</v>
      </c>
      <c r="J29" s="16">
        <f t="shared" si="12"/>
        <v>0</v>
      </c>
      <c r="K29" s="16">
        <f t="shared" si="13"/>
        <v>0</v>
      </c>
      <c r="L29" s="16">
        <f t="shared" si="8"/>
        <v>0</v>
      </c>
      <c r="M29" s="16">
        <f>+L29*'Basic Data Input'!$K$26</f>
        <v>0</v>
      </c>
      <c r="N29" s="16">
        <f t="shared" si="14"/>
        <v>0</v>
      </c>
      <c r="O29" s="16">
        <f t="shared" si="9"/>
        <v>0</v>
      </c>
      <c r="P29" s="26">
        <f t="shared" si="10"/>
        <v>0</v>
      </c>
      <c r="Q29" s="16"/>
    </row>
    <row r="30" spans="1:17">
      <c r="A30" s="310" t="s">
        <v>366</v>
      </c>
      <c r="B30" s="27">
        <f t="shared" si="11"/>
        <v>0</v>
      </c>
      <c r="C30" s="25">
        <f t="shared" si="15"/>
        <v>0</v>
      </c>
      <c r="D30" s="19">
        <f>VLOOKUP($A30, 'WW and FSM data'!$H$9:$P$18, 4, FALSE)</f>
        <v>0</v>
      </c>
      <c r="E30" s="20">
        <f>VLOOKUP($A30, 'WW and FSM data'!$H$9:$P$18, 5, FALSE)</f>
        <v>0</v>
      </c>
      <c r="F30" s="21">
        <f>VLOOKUP($A30, 'WW and FSM data'!$H$9:$P$18, 6, FALSE)</f>
        <v>0</v>
      </c>
      <c r="G30" s="21">
        <f>VLOOKUP($A30, 'WW and FSM data'!$H$9:$P$18, 7, FALSE)</f>
        <v>0</v>
      </c>
      <c r="H30" s="21">
        <f>VLOOKUP($A30, 'WW and FSM data'!$H$9:$P$18, 8, FALSE)</f>
        <v>0</v>
      </c>
      <c r="I30" s="21">
        <f>VLOOKUP($A30, 'WW and FSM data'!$H$9:$P$18, 9, FALSE)</f>
        <v>0</v>
      </c>
      <c r="J30" s="16">
        <f t="shared" si="12"/>
        <v>0</v>
      </c>
      <c r="K30" s="16">
        <f t="shared" si="13"/>
        <v>0</v>
      </c>
      <c r="L30" s="16">
        <f t="shared" si="8"/>
        <v>0</v>
      </c>
      <c r="M30" s="16">
        <f>+L30*'Basic Data Input'!$K$26</f>
        <v>0</v>
      </c>
      <c r="N30" s="16">
        <f t="shared" si="14"/>
        <v>0</v>
      </c>
      <c r="O30" s="16">
        <f t="shared" si="9"/>
        <v>0</v>
      </c>
      <c r="P30" s="26">
        <f t="shared" si="10"/>
        <v>0</v>
      </c>
      <c r="Q30" s="16"/>
    </row>
    <row r="31" spans="1:17">
      <c r="A31" s="310" t="s">
        <v>366</v>
      </c>
      <c r="B31" s="27">
        <f t="shared" si="11"/>
        <v>0</v>
      </c>
      <c r="C31" s="25">
        <f t="shared" si="15"/>
        <v>0</v>
      </c>
      <c r="D31" s="19">
        <f>VLOOKUP($A31, 'WW and FSM data'!$H$9:$P$18, 4, FALSE)</f>
        <v>0</v>
      </c>
      <c r="E31" s="20">
        <f>VLOOKUP($A31, 'WW and FSM data'!$H$9:$P$18, 5, FALSE)</f>
        <v>0</v>
      </c>
      <c r="F31" s="21">
        <f>VLOOKUP($A31, 'WW and FSM data'!$H$9:$P$18, 6, FALSE)</f>
        <v>0</v>
      </c>
      <c r="G31" s="21">
        <f>VLOOKUP($A31, 'WW and FSM data'!$H$9:$P$18, 7, FALSE)</f>
        <v>0</v>
      </c>
      <c r="H31" s="21">
        <f>VLOOKUP($A31, 'WW and FSM data'!$H$9:$P$18, 8, FALSE)</f>
        <v>0</v>
      </c>
      <c r="I31" s="21">
        <f>VLOOKUP($A31, 'WW and FSM data'!$H$9:$P$18, 9, FALSE)</f>
        <v>0</v>
      </c>
      <c r="J31" s="16">
        <f t="shared" si="12"/>
        <v>0</v>
      </c>
      <c r="K31" s="16">
        <f t="shared" si="13"/>
        <v>0</v>
      </c>
      <c r="L31" s="16">
        <f t="shared" si="8"/>
        <v>0</v>
      </c>
      <c r="M31" s="16">
        <f>+L31*'Basic Data Input'!$K$26</f>
        <v>0</v>
      </c>
      <c r="N31" s="16">
        <f t="shared" si="14"/>
        <v>0</v>
      </c>
      <c r="O31" s="16">
        <f t="shared" si="9"/>
        <v>0</v>
      </c>
      <c r="P31" s="26">
        <f t="shared" si="10"/>
        <v>0</v>
      </c>
      <c r="Q31" s="16"/>
    </row>
    <row r="32" spans="1:17">
      <c r="A32" s="15"/>
      <c r="B32" s="19"/>
      <c r="C32" s="19"/>
      <c r="D32" s="19"/>
      <c r="E32" s="19"/>
      <c r="F32" s="19"/>
      <c r="G32" s="19"/>
      <c r="H32" s="19"/>
      <c r="I32" s="19"/>
      <c r="J32" s="19"/>
      <c r="K32" s="19"/>
      <c r="L32" s="16"/>
      <c r="M32" s="16"/>
      <c r="N32" s="16"/>
      <c r="O32" s="16"/>
      <c r="P32" s="16"/>
      <c r="Q32" s="19"/>
    </row>
    <row r="33" spans="1:17">
      <c r="A33" s="15" t="s">
        <v>415</v>
      </c>
      <c r="B33" s="19"/>
      <c r="C33" s="19"/>
      <c r="D33" s="19"/>
      <c r="E33" s="19"/>
      <c r="F33" s="19"/>
      <c r="G33" s="19"/>
      <c r="H33" s="19"/>
      <c r="I33" s="19"/>
      <c r="J33" s="19"/>
      <c r="K33" s="19"/>
      <c r="L33" s="29">
        <f>SUM(L24:L31)</f>
        <v>240639.05250000002</v>
      </c>
      <c r="M33" s="191">
        <f>SUM(M24:M31)</f>
        <v>8181727.7850000001</v>
      </c>
      <c r="N33" s="32">
        <f>SUM(N24:N31)</f>
        <v>10890</v>
      </c>
      <c r="O33" s="19" t="s">
        <v>416</v>
      </c>
      <c r="P33" s="19"/>
      <c r="Q33" s="19"/>
    </row>
    <row r="34" spans="1:17">
      <c r="A34" s="15"/>
      <c r="B34" s="19"/>
      <c r="C34" s="19"/>
      <c r="D34" s="19"/>
      <c r="E34" s="19"/>
      <c r="F34" s="19"/>
      <c r="G34" s="19"/>
      <c r="H34" s="19"/>
      <c r="I34" s="19"/>
      <c r="J34" s="19"/>
      <c r="K34" s="19"/>
      <c r="L34" s="19"/>
      <c r="M34" s="19"/>
      <c r="N34" s="19"/>
      <c r="O34" s="19"/>
      <c r="P34" s="19"/>
      <c r="Q34" s="19"/>
    </row>
    <row r="35" spans="1:17">
      <c r="A35" s="4"/>
      <c r="B35" s="9"/>
      <c r="C35" s="9"/>
      <c r="D35" s="9"/>
      <c r="E35" s="9"/>
      <c r="F35" s="9"/>
      <c r="G35" s="9"/>
      <c r="H35" s="9"/>
      <c r="I35" s="9"/>
      <c r="J35" s="9"/>
      <c r="K35" s="9"/>
      <c r="L35" s="19"/>
      <c r="M35" s="19"/>
      <c r="N35" s="19"/>
      <c r="O35" s="19"/>
      <c r="P35" s="19"/>
      <c r="Q35" s="9"/>
    </row>
  </sheetData>
  <mergeCells count="11">
    <mergeCell ref="P4:P5"/>
    <mergeCell ref="C4:C5"/>
    <mergeCell ref="I4:I5"/>
    <mergeCell ref="M4:M5"/>
    <mergeCell ref="N4:N5"/>
    <mergeCell ref="O4:O5"/>
    <mergeCell ref="I22:I23"/>
    <mergeCell ref="M22:M23"/>
    <mergeCell ref="N22:N23"/>
    <mergeCell ref="O22:O23"/>
    <mergeCell ref="P22:P23"/>
  </mergeCells>
  <pageMargins left="0.7" right="0.7" top="0.75" bottom="0.75" header="0.3" footer="0.3"/>
  <pageSetup paperSize="9" scale="7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'WW and FSM data'!$H$9:$H$18</xm:f>
          </x14:formula1>
          <xm:sqref>A6:A13 A24:A31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0000"/>
    <pageSetUpPr fitToPage="1"/>
  </sheetPr>
  <dimension ref="A1:V46"/>
  <sheetViews>
    <sheetView workbookViewId="0">
      <selection activeCell="A6" sqref="A6"/>
    </sheetView>
  </sheetViews>
  <sheetFormatPr defaultRowHeight="12.6"/>
  <cols>
    <col min="1" max="1" width="11.85546875" customWidth="1"/>
    <col min="3" max="3" width="11.7109375" customWidth="1"/>
  </cols>
  <sheetData>
    <row r="1" spans="1:22">
      <c r="A1" s="438" t="s">
        <v>418</v>
      </c>
      <c r="B1" s="438"/>
      <c r="C1" s="438"/>
      <c r="D1" s="438"/>
      <c r="E1" s="438"/>
      <c r="F1" s="438"/>
      <c r="G1" s="438"/>
      <c r="H1" s="160"/>
      <c r="I1" s="160"/>
      <c r="J1" s="160"/>
      <c r="K1" s="160"/>
      <c r="L1" s="160"/>
      <c r="M1" s="160"/>
      <c r="N1" s="160"/>
      <c r="O1" s="160"/>
      <c r="P1" s="160"/>
      <c r="Q1" s="160"/>
      <c r="R1" s="17"/>
      <c r="S1" s="17"/>
      <c r="T1" s="17"/>
      <c r="U1" s="17"/>
      <c r="V1" s="17"/>
    </row>
    <row r="2" spans="1:22">
      <c r="A2" s="163"/>
      <c r="B2" s="163"/>
      <c r="C2" s="163"/>
      <c r="D2" s="163"/>
      <c r="E2" s="163"/>
      <c r="F2" s="163"/>
      <c r="G2" s="163"/>
      <c r="H2" s="160"/>
      <c r="I2" s="160"/>
      <c r="J2" s="160"/>
      <c r="K2" s="160"/>
      <c r="L2" s="160"/>
      <c r="M2" s="160"/>
      <c r="N2" s="164"/>
      <c r="O2" s="164"/>
      <c r="P2" s="164"/>
      <c r="Q2" s="164"/>
      <c r="R2" s="156"/>
      <c r="S2" s="156"/>
      <c r="T2" s="17"/>
      <c r="U2" s="17"/>
      <c r="V2" s="17"/>
    </row>
    <row r="3" spans="1:22">
      <c r="A3" s="163"/>
      <c r="B3" s="163"/>
      <c r="C3" s="163"/>
      <c r="D3" s="163"/>
      <c r="E3" s="404" t="s">
        <v>419</v>
      </c>
      <c r="F3" s="404"/>
      <c r="G3" s="404"/>
      <c r="H3" s="405" t="s">
        <v>420</v>
      </c>
      <c r="I3" s="405"/>
      <c r="J3" s="405"/>
      <c r="K3" s="405" t="s">
        <v>421</v>
      </c>
      <c r="L3" s="405"/>
      <c r="M3" s="405"/>
      <c r="N3" s="405" t="s">
        <v>422</v>
      </c>
      <c r="O3" s="405"/>
      <c r="P3" s="405"/>
      <c r="Q3" s="220"/>
      <c r="R3" s="145"/>
      <c r="S3" s="145"/>
      <c r="T3" s="17"/>
      <c r="U3" s="428"/>
      <c r="V3" s="428"/>
    </row>
    <row r="4" spans="1:22">
      <c r="A4" s="163"/>
      <c r="B4" s="163"/>
      <c r="C4" s="163"/>
      <c r="D4" s="163"/>
      <c r="E4" s="404"/>
      <c r="F4" s="404"/>
      <c r="G4" s="404"/>
      <c r="H4" s="405"/>
      <c r="I4" s="405"/>
      <c r="J4" s="405"/>
      <c r="K4" s="405"/>
      <c r="L4" s="405"/>
      <c r="M4" s="405"/>
      <c r="N4" s="405"/>
      <c r="O4" s="405"/>
      <c r="P4" s="405"/>
      <c r="Q4" s="202"/>
      <c r="R4" s="135"/>
      <c r="S4" s="135"/>
      <c r="T4" s="17"/>
      <c r="U4" s="135"/>
      <c r="V4" s="135"/>
    </row>
    <row r="5" spans="1:22" s="5" customFormat="1" ht="31.5">
      <c r="A5" s="192" t="s">
        <v>233</v>
      </c>
      <c r="B5" s="192" t="s">
        <v>423</v>
      </c>
      <c r="C5" s="192" t="s">
        <v>338</v>
      </c>
      <c r="D5" s="192" t="s">
        <v>424</v>
      </c>
      <c r="E5" s="192" t="s">
        <v>238</v>
      </c>
      <c r="F5" s="192" t="s">
        <v>244</v>
      </c>
      <c r="G5" s="192" t="s">
        <v>240</v>
      </c>
      <c r="H5" s="192" t="s">
        <v>238</v>
      </c>
      <c r="I5" s="192" t="s">
        <v>244</v>
      </c>
      <c r="J5" s="192" t="s">
        <v>240</v>
      </c>
      <c r="K5" s="192" t="s">
        <v>238</v>
      </c>
      <c r="L5" s="192" t="s">
        <v>244</v>
      </c>
      <c r="M5" s="192" t="s">
        <v>240</v>
      </c>
      <c r="N5" s="192" t="s">
        <v>238</v>
      </c>
      <c r="O5" s="192" t="s">
        <v>244</v>
      </c>
      <c r="P5" s="192" t="s">
        <v>240</v>
      </c>
      <c r="Q5" s="185"/>
      <c r="R5" s="134"/>
      <c r="S5" s="134"/>
      <c r="T5" s="154"/>
      <c r="U5" s="134"/>
      <c r="V5" s="134"/>
    </row>
    <row r="6" spans="1:22">
      <c r="A6" s="317" t="s">
        <v>425</v>
      </c>
      <c r="B6" s="318">
        <f>'WW FS Direct CH4 Bugo'!C24</f>
        <v>54450</v>
      </c>
      <c r="C6" s="300" t="s">
        <v>356</v>
      </c>
      <c r="D6" s="319">
        <f>B6</f>
        <v>54450</v>
      </c>
      <c r="E6" s="300">
        <f>0.8*F6</f>
        <v>0</v>
      </c>
      <c r="F6" s="300">
        <f>VLOOKUP($C6,'WW and FSM data'!$H$9:$Q$18, 10, FALSE)</f>
        <v>0</v>
      </c>
      <c r="G6" s="300">
        <f>1.2*F6</f>
        <v>0</v>
      </c>
      <c r="H6" s="188">
        <f t="shared" ref="H6:J9" si="0">+A$14*$D6</f>
        <v>203534.1</v>
      </c>
      <c r="I6" s="188">
        <f t="shared" si="0"/>
        <v>254390.39999999999</v>
      </c>
      <c r="J6" s="188">
        <f t="shared" si="0"/>
        <v>305246.7</v>
      </c>
      <c r="K6" s="188">
        <f t="shared" ref="K6:M9" si="1">+H6*E6</f>
        <v>0</v>
      </c>
      <c r="L6" s="188">
        <f t="shared" si="1"/>
        <v>0</v>
      </c>
      <c r="M6" s="188">
        <f t="shared" si="1"/>
        <v>0</v>
      </c>
      <c r="N6" s="188">
        <f>+K6*'Basic Data Input'!$K$27</f>
        <v>0</v>
      </c>
      <c r="O6" s="188">
        <f>+L6*'Basic Data Input'!$K$27</f>
        <v>0</v>
      </c>
      <c r="P6" s="188">
        <f>+M6*'Basic Data Input'!$K$27</f>
        <v>0</v>
      </c>
      <c r="Q6" s="238"/>
      <c r="R6" s="225"/>
      <c r="S6" s="224"/>
      <c r="T6" s="17"/>
      <c r="U6" s="152"/>
      <c r="V6" s="152"/>
    </row>
    <row r="7" spans="1:22">
      <c r="A7" s="317"/>
      <c r="B7" s="318">
        <f>'WW FS Direct CH4 Bugo'!C6</f>
        <v>154890</v>
      </c>
      <c r="C7" s="300" t="s">
        <v>360</v>
      </c>
      <c r="D7" s="319">
        <f>B7</f>
        <v>154890</v>
      </c>
      <c r="E7" s="300">
        <f>0.8*F7</f>
        <v>1.2800000000000001E-2</v>
      </c>
      <c r="F7" s="300">
        <f>VLOOKUP($C7,'WW and FSM data'!$H$9:$Q$18, 10, FALSE)</f>
        <v>1.6E-2</v>
      </c>
      <c r="G7" s="300">
        <f>1.2*F7</f>
        <v>1.9199999999999998E-2</v>
      </c>
      <c r="H7" s="188">
        <f t="shared" si="0"/>
        <v>578978.81999999995</v>
      </c>
      <c r="I7" s="188">
        <f t="shared" si="0"/>
        <v>723646.08</v>
      </c>
      <c r="J7" s="188">
        <f t="shared" si="0"/>
        <v>868313.34</v>
      </c>
      <c r="K7" s="188">
        <f t="shared" si="1"/>
        <v>7410.9288959999994</v>
      </c>
      <c r="L7" s="188">
        <f t="shared" si="1"/>
        <v>11578.33728</v>
      </c>
      <c r="M7" s="188">
        <f t="shared" si="1"/>
        <v>16671.616127999998</v>
      </c>
      <c r="N7" s="188">
        <f>+K7*'Basic Data Input'!$K$27</f>
        <v>2208456.8110079998</v>
      </c>
      <c r="O7" s="188">
        <f>+L7*'Basic Data Input'!$K$27</f>
        <v>3450344.5094399997</v>
      </c>
      <c r="P7" s="188">
        <f>+M7*'Basic Data Input'!$K$27</f>
        <v>4968141.6061439989</v>
      </c>
      <c r="Q7" s="238"/>
      <c r="R7" s="225"/>
      <c r="S7" s="224"/>
      <c r="T7" s="17"/>
      <c r="U7" s="152"/>
      <c r="V7" s="152"/>
    </row>
    <row r="8" spans="1:22">
      <c r="A8" s="317"/>
      <c r="B8" s="318">
        <f>'WW FS Direct CH4 Bugo'!C25</f>
        <v>43560</v>
      </c>
      <c r="C8" s="300" t="s">
        <v>355</v>
      </c>
      <c r="D8" s="319">
        <f>B8</f>
        <v>43560</v>
      </c>
      <c r="E8" s="300">
        <f>0.8*F8</f>
        <v>4.0000000000000001E-3</v>
      </c>
      <c r="F8" s="300">
        <f>VLOOKUP($C8,'WW and FSM data'!$H$9:$Q$18, 10, FALSE)</f>
        <v>5.0000000000000001E-3</v>
      </c>
      <c r="G8" s="300">
        <f>1.2*F8</f>
        <v>6.0000000000000001E-3</v>
      </c>
      <c r="H8" s="188">
        <f t="shared" si="0"/>
        <v>162827.28</v>
      </c>
      <c r="I8" s="188">
        <f t="shared" si="0"/>
        <v>203512.31999999998</v>
      </c>
      <c r="J8" s="188">
        <f t="shared" si="0"/>
        <v>244197.36</v>
      </c>
      <c r="K8" s="188">
        <f t="shared" si="1"/>
        <v>651.30912000000001</v>
      </c>
      <c r="L8" s="188">
        <f t="shared" si="1"/>
        <v>1017.5615999999999</v>
      </c>
      <c r="M8" s="188">
        <f t="shared" si="1"/>
        <v>1465.18416</v>
      </c>
      <c r="N8" s="188">
        <f>+K8*'Basic Data Input'!$K$27</f>
        <v>194090.11775999999</v>
      </c>
      <c r="O8" s="188">
        <f>+L8*'Basic Data Input'!$K$27</f>
        <v>303233.35679999995</v>
      </c>
      <c r="P8" s="188">
        <f>+M8*'Basic Data Input'!$K$27</f>
        <v>436624.87968000001</v>
      </c>
      <c r="Q8" s="238"/>
      <c r="R8" s="225"/>
      <c r="S8" s="224"/>
      <c r="T8" s="17"/>
      <c r="U8" s="152"/>
      <c r="V8" s="152"/>
    </row>
    <row r="9" spans="1:22">
      <c r="A9" s="317"/>
      <c r="B9" s="318"/>
      <c r="C9" s="300"/>
      <c r="D9" s="319"/>
      <c r="E9" s="300"/>
      <c r="F9" s="300"/>
      <c r="G9" s="300"/>
      <c r="H9" s="188">
        <f t="shared" si="0"/>
        <v>0</v>
      </c>
      <c r="I9" s="188">
        <f t="shared" si="0"/>
        <v>0</v>
      </c>
      <c r="J9" s="188">
        <f t="shared" si="0"/>
        <v>0</v>
      </c>
      <c r="K9" s="188">
        <f t="shared" si="1"/>
        <v>0</v>
      </c>
      <c r="L9" s="188">
        <f t="shared" si="1"/>
        <v>0</v>
      </c>
      <c r="M9" s="188">
        <f t="shared" si="1"/>
        <v>0</v>
      </c>
      <c r="N9" s="188">
        <f>+K9*'Basic Data Input'!$K$27</f>
        <v>0</v>
      </c>
      <c r="O9" s="188">
        <f>+L9*'Basic Data Input'!$K$27</f>
        <v>0</v>
      </c>
      <c r="P9" s="188">
        <f>+M9*'Basic Data Input'!$K$27</f>
        <v>0</v>
      </c>
      <c r="Q9" s="238"/>
      <c r="R9" s="225"/>
      <c r="S9" s="224"/>
      <c r="T9" s="17"/>
      <c r="U9" s="152"/>
      <c r="V9" s="152"/>
    </row>
    <row r="10" spans="1:22">
      <c r="A10" s="220"/>
      <c r="B10" s="220"/>
      <c r="C10" s="202"/>
      <c r="D10" s="220"/>
      <c r="E10" s="220"/>
      <c r="F10" s="220"/>
      <c r="G10" s="220"/>
      <c r="H10" s="220"/>
      <c r="I10" s="220"/>
      <c r="J10" s="220"/>
      <c r="K10" s="160"/>
      <c r="L10" s="160"/>
      <c r="M10" s="160"/>
      <c r="N10" s="202"/>
      <c r="O10" s="202"/>
      <c r="P10" s="202"/>
      <c r="Q10" s="202"/>
      <c r="R10" s="135"/>
      <c r="S10" s="135"/>
      <c r="T10" s="17"/>
      <c r="U10" s="144"/>
      <c r="V10" s="144"/>
    </row>
    <row r="11" spans="1:22">
      <c r="A11" s="405" t="s">
        <v>426</v>
      </c>
      <c r="B11" s="405"/>
      <c r="C11" s="405"/>
      <c r="D11" s="220"/>
      <c r="E11" s="418" t="s">
        <v>427</v>
      </c>
      <c r="F11" s="418"/>
      <c r="G11" s="418"/>
      <c r="H11" s="418"/>
      <c r="I11" s="418"/>
      <c r="J11" s="418"/>
      <c r="K11" s="172">
        <f>SUM(K6:K9)</f>
        <v>8062.2380159999993</v>
      </c>
      <c r="L11" s="239">
        <f>SUM(L6:L9)</f>
        <v>12595.898879999999</v>
      </c>
      <c r="M11" s="172">
        <f>SUM(M6:M9)</f>
        <v>18136.800287999999</v>
      </c>
      <c r="N11" s="202"/>
      <c r="O11" s="202"/>
      <c r="P11" s="202"/>
      <c r="Q11" s="202"/>
      <c r="R11" s="135"/>
      <c r="S11" s="135"/>
      <c r="T11" s="17"/>
      <c r="U11" s="144"/>
      <c r="V11" s="144"/>
    </row>
    <row r="12" spans="1:22">
      <c r="A12" s="405"/>
      <c r="B12" s="405"/>
      <c r="C12" s="405"/>
      <c r="D12" s="220"/>
      <c r="E12" s="418" t="s">
        <v>428</v>
      </c>
      <c r="F12" s="418"/>
      <c r="G12" s="418"/>
      <c r="H12" s="418"/>
      <c r="I12" s="418"/>
      <c r="J12" s="418"/>
      <c r="K12" s="163"/>
      <c r="L12" s="160"/>
      <c r="M12" s="160"/>
      <c r="N12" s="172">
        <f>SUM(N6:N9)</f>
        <v>2402546.9287679996</v>
      </c>
      <c r="O12" s="239">
        <f>SUM(O6:O9)</f>
        <v>3753577.8662399994</v>
      </c>
      <c r="P12" s="172">
        <f>SUM(P6:P9)</f>
        <v>5404766.4858239992</v>
      </c>
      <c r="Q12" s="202"/>
      <c r="R12" s="135"/>
      <c r="S12" s="135"/>
      <c r="T12" s="17"/>
      <c r="U12" s="144"/>
      <c r="V12" s="144"/>
    </row>
    <row r="13" spans="1:22" ht="21">
      <c r="A13" s="192" t="s">
        <v>238</v>
      </c>
      <c r="B13" s="192" t="s">
        <v>244</v>
      </c>
      <c r="C13" s="192" t="s">
        <v>240</v>
      </c>
      <c r="D13" s="220"/>
      <c r="E13" s="220"/>
      <c r="F13" s="220"/>
      <c r="G13" s="220"/>
      <c r="H13" s="220"/>
      <c r="I13" s="220"/>
      <c r="J13" s="220"/>
      <c r="K13" s="160"/>
      <c r="L13" s="160"/>
      <c r="M13" s="160"/>
      <c r="N13" s="202"/>
      <c r="O13" s="202"/>
      <c r="P13" s="202"/>
      <c r="Q13" s="202"/>
      <c r="R13" s="135"/>
      <c r="S13" s="135"/>
      <c r="T13" s="17"/>
      <c r="U13" s="144"/>
      <c r="V13" s="144"/>
    </row>
    <row r="14" spans="1:22">
      <c r="A14" s="320">
        <v>3.738</v>
      </c>
      <c r="B14" s="320">
        <v>4.6719999999999997</v>
      </c>
      <c r="C14" s="320">
        <v>5.6059999999999999</v>
      </c>
      <c r="D14" s="240" t="s">
        <v>429</v>
      </c>
      <c r="E14" s="220"/>
      <c r="F14" s="220"/>
      <c r="G14" s="220"/>
      <c r="H14" s="220"/>
      <c r="I14" s="220"/>
      <c r="J14" s="220"/>
      <c r="K14" s="160"/>
      <c r="L14" s="160"/>
      <c r="M14" s="160"/>
      <c r="N14" s="202"/>
      <c r="O14" s="202"/>
      <c r="P14" s="202"/>
      <c r="Q14" s="202"/>
      <c r="R14" s="135"/>
      <c r="S14" s="135"/>
      <c r="T14" s="17"/>
      <c r="U14" s="144"/>
      <c r="V14" s="144"/>
    </row>
    <row r="15" spans="1:22">
      <c r="A15" s="220"/>
      <c r="B15" s="220"/>
      <c r="C15" s="220"/>
      <c r="D15" s="220"/>
      <c r="E15" s="72"/>
      <c r="F15" s="72"/>
      <c r="G15" s="72"/>
      <c r="H15" s="72"/>
      <c r="I15" s="72"/>
      <c r="J15" s="72"/>
      <c r="K15" s="72"/>
      <c r="L15" s="72"/>
      <c r="M15" s="72"/>
      <c r="N15" s="202"/>
      <c r="O15" s="202"/>
      <c r="P15" s="202"/>
      <c r="Q15" s="202"/>
      <c r="R15" s="135"/>
      <c r="S15" s="135"/>
      <c r="T15" s="17"/>
      <c r="U15" s="17"/>
      <c r="V15" s="17"/>
    </row>
    <row r="16" spans="1:22">
      <c r="A16" s="220"/>
      <c r="B16" s="220"/>
      <c r="C16" s="220"/>
      <c r="D16" s="220"/>
      <c r="E16" s="72"/>
      <c r="F16" s="72"/>
      <c r="G16" s="72"/>
      <c r="H16" s="72"/>
      <c r="I16" s="72"/>
      <c r="J16" s="72"/>
      <c r="K16" s="179"/>
      <c r="L16" s="172"/>
      <c r="M16" s="172"/>
      <c r="N16" s="202"/>
      <c r="O16" s="202"/>
      <c r="P16" s="202"/>
      <c r="Q16" s="202"/>
      <c r="R16" s="135"/>
      <c r="S16" s="135"/>
      <c r="T16" s="17"/>
      <c r="U16" s="17"/>
      <c r="V16" s="17"/>
    </row>
    <row r="17" spans="1:22">
      <c r="A17" s="145"/>
      <c r="B17" s="145"/>
      <c r="C17" s="145"/>
      <c r="D17" s="145"/>
      <c r="E17" s="157"/>
      <c r="F17" s="236"/>
      <c r="G17" s="157"/>
      <c r="H17" s="157"/>
      <c r="I17" s="157"/>
      <c r="J17" s="157"/>
      <c r="K17" s="147"/>
      <c r="L17" s="144"/>
      <c r="M17" s="144"/>
      <c r="N17" s="17"/>
      <c r="O17" s="17"/>
      <c r="P17" s="17"/>
      <c r="Q17" s="17"/>
      <c r="R17" s="17"/>
      <c r="S17" s="17"/>
      <c r="T17" s="17"/>
      <c r="U17" s="17"/>
      <c r="V17" s="17"/>
    </row>
    <row r="18" spans="1:22">
      <c r="A18" s="438" t="s">
        <v>430</v>
      </c>
      <c r="B18" s="438"/>
      <c r="C18" s="438"/>
      <c r="D18" s="438"/>
      <c r="E18" s="438"/>
      <c r="F18" s="438"/>
      <c r="G18" s="438"/>
      <c r="H18" s="160"/>
      <c r="I18" s="160"/>
      <c r="J18" s="160"/>
      <c r="K18" s="160"/>
      <c r="L18" s="160"/>
      <c r="M18" s="160"/>
      <c r="N18" s="160"/>
      <c r="O18" s="160"/>
      <c r="P18" s="160"/>
      <c r="Q18" s="160"/>
      <c r="R18" s="17"/>
      <c r="S18" s="17"/>
      <c r="T18" s="17"/>
      <c r="U18" s="17"/>
      <c r="V18" s="17"/>
    </row>
    <row r="19" spans="1:22">
      <c r="A19" s="163"/>
      <c r="B19" s="163"/>
      <c r="C19" s="163"/>
      <c r="D19" s="163"/>
      <c r="E19" s="163"/>
      <c r="F19" s="163"/>
      <c r="G19" s="163"/>
      <c r="H19" s="160"/>
      <c r="I19" s="160"/>
      <c r="J19" s="160"/>
      <c r="K19" s="160"/>
      <c r="L19" s="160"/>
      <c r="M19" s="160"/>
      <c r="N19" s="164"/>
      <c r="O19" s="164"/>
      <c r="P19" s="164"/>
      <c r="Q19" s="164"/>
      <c r="R19" s="17"/>
      <c r="S19" s="17"/>
      <c r="T19" s="17"/>
      <c r="U19" s="17"/>
      <c r="V19" s="17"/>
    </row>
    <row r="20" spans="1:22">
      <c r="A20" s="163"/>
      <c r="B20" s="163"/>
      <c r="C20" s="163"/>
      <c r="D20" s="163"/>
      <c r="E20" s="404" t="s">
        <v>419</v>
      </c>
      <c r="F20" s="404"/>
      <c r="G20" s="404"/>
      <c r="H20" s="405" t="s">
        <v>420</v>
      </c>
      <c r="I20" s="405"/>
      <c r="J20" s="405"/>
      <c r="K20" s="405" t="s">
        <v>421</v>
      </c>
      <c r="L20" s="405"/>
      <c r="M20" s="405"/>
      <c r="N20" s="405" t="s">
        <v>422</v>
      </c>
      <c r="O20" s="405"/>
      <c r="P20" s="405"/>
      <c r="Q20" s="220"/>
      <c r="R20" s="17"/>
      <c r="S20" s="17"/>
      <c r="T20" s="17"/>
      <c r="U20" s="17"/>
      <c r="V20" s="17"/>
    </row>
    <row r="21" spans="1:22">
      <c r="A21" s="163"/>
      <c r="B21" s="163"/>
      <c r="C21" s="163"/>
      <c r="D21" s="163"/>
      <c r="E21" s="404"/>
      <c r="F21" s="404"/>
      <c r="G21" s="404"/>
      <c r="H21" s="405"/>
      <c r="I21" s="405"/>
      <c r="J21" s="405"/>
      <c r="K21" s="405"/>
      <c r="L21" s="405"/>
      <c r="M21" s="405"/>
      <c r="N21" s="405"/>
      <c r="O21" s="405"/>
      <c r="P21" s="405"/>
      <c r="Q21" s="202"/>
      <c r="R21" s="17"/>
      <c r="S21" s="17"/>
      <c r="T21" s="17"/>
      <c r="U21" s="17"/>
      <c r="V21" s="17"/>
    </row>
    <row r="22" spans="1:22" ht="31.5">
      <c r="A22" s="192" t="s">
        <v>233</v>
      </c>
      <c r="B22" s="192" t="s">
        <v>423</v>
      </c>
      <c r="C22" s="192" t="s">
        <v>338</v>
      </c>
      <c r="D22" s="192" t="s">
        <v>424</v>
      </c>
      <c r="E22" s="192" t="s">
        <v>238</v>
      </c>
      <c r="F22" s="192" t="s">
        <v>244</v>
      </c>
      <c r="G22" s="192" t="s">
        <v>240</v>
      </c>
      <c r="H22" s="192" t="s">
        <v>238</v>
      </c>
      <c r="I22" s="192" t="s">
        <v>244</v>
      </c>
      <c r="J22" s="192" t="s">
        <v>240</v>
      </c>
      <c r="K22" s="192" t="s">
        <v>238</v>
      </c>
      <c r="L22" s="192" t="s">
        <v>244</v>
      </c>
      <c r="M22" s="192" t="s">
        <v>240</v>
      </c>
      <c r="N22" s="192" t="s">
        <v>238</v>
      </c>
      <c r="O22" s="192" t="s">
        <v>244</v>
      </c>
      <c r="P22" s="192" t="s">
        <v>240</v>
      </c>
      <c r="Q22" s="185"/>
      <c r="R22" s="17"/>
      <c r="S22" s="17"/>
      <c r="T22" s="17"/>
      <c r="U22" s="17"/>
      <c r="V22" s="17"/>
    </row>
    <row r="23" spans="1:22">
      <c r="A23" s="317" t="s">
        <v>431</v>
      </c>
      <c r="B23" s="328">
        <f>'WW FS Direct CH4 Lubigi'!C24</f>
        <v>110550</v>
      </c>
      <c r="C23" s="300" t="s">
        <v>356</v>
      </c>
      <c r="D23" s="319">
        <f t="shared" ref="D23:D28" si="2">B23</f>
        <v>110550</v>
      </c>
      <c r="E23" s="300">
        <f t="shared" ref="E23:E28" si="3">0.8*F23</f>
        <v>0</v>
      </c>
      <c r="F23" s="300">
        <f>VLOOKUP($C23,'WW and FSM data'!$H$9:$Q$18, 10, FALSE)</f>
        <v>0</v>
      </c>
      <c r="G23" s="300">
        <f t="shared" ref="G23:G28" si="4">1.2*F23</f>
        <v>0</v>
      </c>
      <c r="H23" s="188">
        <f t="shared" ref="H23:J28" si="5">+A$14*$D23</f>
        <v>413235.9</v>
      </c>
      <c r="I23" s="188">
        <f t="shared" si="5"/>
        <v>516489.6</v>
      </c>
      <c r="J23" s="188">
        <f t="shared" si="5"/>
        <v>619743.29999999993</v>
      </c>
      <c r="K23" s="188">
        <f t="shared" ref="K23:M28" si="6">+H23*E23</f>
        <v>0</v>
      </c>
      <c r="L23" s="188">
        <f t="shared" si="6"/>
        <v>0</v>
      </c>
      <c r="M23" s="188">
        <f t="shared" si="6"/>
        <v>0</v>
      </c>
      <c r="N23" s="188">
        <f>+K23*'Basic Data Input'!$K$27</f>
        <v>0</v>
      </c>
      <c r="O23" s="188">
        <f>+L23*'Basic Data Input'!$K$27</f>
        <v>0</v>
      </c>
      <c r="P23" s="188">
        <f>+M23*'Basic Data Input'!$K$27</f>
        <v>0</v>
      </c>
      <c r="Q23" s="238"/>
      <c r="R23" s="440"/>
      <c r="S23" s="440"/>
      <c r="T23" s="17"/>
      <c r="U23" s="17"/>
      <c r="V23" s="17"/>
    </row>
    <row r="24" spans="1:22">
      <c r="A24" s="317" t="s">
        <v>431</v>
      </c>
      <c r="B24" s="328">
        <f>'WW FS Direct CH4 Lubigi'!C25</f>
        <v>88440</v>
      </c>
      <c r="C24" s="300" t="s">
        <v>355</v>
      </c>
      <c r="D24" s="319">
        <f t="shared" si="2"/>
        <v>88440</v>
      </c>
      <c r="E24" s="300">
        <f t="shared" si="3"/>
        <v>4.0000000000000001E-3</v>
      </c>
      <c r="F24" s="300">
        <f>VLOOKUP($C24,'WW and FSM data'!$H$9:$Q$18, 10, FALSE)</f>
        <v>5.0000000000000001E-3</v>
      </c>
      <c r="G24" s="300">
        <f t="shared" si="4"/>
        <v>6.0000000000000001E-3</v>
      </c>
      <c r="H24" s="188">
        <f t="shared" si="5"/>
        <v>330588.71999999997</v>
      </c>
      <c r="I24" s="188">
        <f t="shared" si="5"/>
        <v>413191.67999999999</v>
      </c>
      <c r="J24" s="188">
        <f t="shared" si="5"/>
        <v>495794.64</v>
      </c>
      <c r="K24" s="188">
        <f t="shared" si="6"/>
        <v>1322.3548799999999</v>
      </c>
      <c r="L24" s="188">
        <f t="shared" si="6"/>
        <v>2065.9584</v>
      </c>
      <c r="M24" s="188">
        <f t="shared" si="6"/>
        <v>2974.76784</v>
      </c>
      <c r="N24" s="188">
        <f>+K24*'Basic Data Input'!$K$27</f>
        <v>394061.75423999998</v>
      </c>
      <c r="O24" s="188">
        <f>+L24*'Basic Data Input'!$K$27</f>
        <v>615655.60320000001</v>
      </c>
      <c r="P24" s="188">
        <f>+M24*'Basic Data Input'!$K$27</f>
        <v>886480.81631999998</v>
      </c>
      <c r="Q24" s="238"/>
      <c r="R24" s="421"/>
      <c r="S24" s="421"/>
      <c r="T24" s="17"/>
      <c r="U24" s="17"/>
      <c r="V24" s="17"/>
    </row>
    <row r="25" spans="1:22">
      <c r="A25" s="317" t="s">
        <v>431</v>
      </c>
      <c r="B25" s="328">
        <f>'WW FS Direct CH4 Lubigi'!C26</f>
        <v>88440</v>
      </c>
      <c r="C25" s="300" t="s">
        <v>358</v>
      </c>
      <c r="D25" s="319">
        <f t="shared" si="2"/>
        <v>88440</v>
      </c>
      <c r="E25" s="300">
        <f t="shared" si="3"/>
        <v>4.0000000000000001E-3</v>
      </c>
      <c r="F25" s="300">
        <f>VLOOKUP($C25,'WW and FSM data'!$H$9:$Q$18, 10, FALSE)</f>
        <v>5.0000000000000001E-3</v>
      </c>
      <c r="G25" s="300">
        <f t="shared" si="4"/>
        <v>6.0000000000000001E-3</v>
      </c>
      <c r="H25" s="188">
        <f t="shared" si="5"/>
        <v>330588.71999999997</v>
      </c>
      <c r="I25" s="188">
        <f t="shared" si="5"/>
        <v>413191.67999999999</v>
      </c>
      <c r="J25" s="188">
        <f t="shared" si="5"/>
        <v>495794.64</v>
      </c>
      <c r="K25" s="188">
        <f t="shared" si="6"/>
        <v>1322.3548799999999</v>
      </c>
      <c r="L25" s="188">
        <f t="shared" si="6"/>
        <v>2065.9584</v>
      </c>
      <c r="M25" s="188">
        <f t="shared" si="6"/>
        <v>2974.76784</v>
      </c>
      <c r="N25" s="188">
        <f>+K25*'Basic Data Input'!$K$27</f>
        <v>394061.75423999998</v>
      </c>
      <c r="O25" s="188">
        <f>+L25*'Basic Data Input'!$K$27</f>
        <v>615655.60320000001</v>
      </c>
      <c r="P25" s="188">
        <f>+M25*'Basic Data Input'!$K$27</f>
        <v>886480.81631999998</v>
      </c>
      <c r="Q25" s="238"/>
      <c r="R25" s="327"/>
      <c r="S25" s="327"/>
      <c r="T25" s="17"/>
      <c r="U25" s="17"/>
      <c r="V25" s="17"/>
    </row>
    <row r="26" spans="1:22">
      <c r="A26" s="317" t="s">
        <v>432</v>
      </c>
      <c r="B26" s="328">
        <f>'WW FS Direct CH4 Lubigi'!C6</f>
        <v>58110</v>
      </c>
      <c r="C26" s="300" t="s">
        <v>352</v>
      </c>
      <c r="D26" s="319">
        <f t="shared" si="2"/>
        <v>58110</v>
      </c>
      <c r="E26" s="300">
        <f t="shared" si="3"/>
        <v>0</v>
      </c>
      <c r="F26" s="300">
        <f>VLOOKUP($C26,'WW and FSM data'!$H$9:$Q$18, 10, FALSE)</f>
        <v>0</v>
      </c>
      <c r="G26" s="300">
        <f t="shared" si="4"/>
        <v>0</v>
      </c>
      <c r="H26" s="188">
        <f t="shared" si="5"/>
        <v>217215.18</v>
      </c>
      <c r="I26" s="188">
        <f t="shared" si="5"/>
        <v>271489.91999999998</v>
      </c>
      <c r="J26" s="188">
        <f t="shared" si="5"/>
        <v>325764.65999999997</v>
      </c>
      <c r="K26" s="188">
        <f t="shared" si="6"/>
        <v>0</v>
      </c>
      <c r="L26" s="188">
        <f t="shared" si="6"/>
        <v>0</v>
      </c>
      <c r="M26" s="188">
        <f t="shared" si="6"/>
        <v>0</v>
      </c>
      <c r="N26" s="188">
        <f>+K26*'Basic Data Input'!$K$27</f>
        <v>0</v>
      </c>
      <c r="O26" s="188">
        <f>+L26*'Basic Data Input'!$K$27</f>
        <v>0</v>
      </c>
      <c r="P26" s="188">
        <f>+M26*'Basic Data Input'!$K$27</f>
        <v>0</v>
      </c>
      <c r="Q26" s="238"/>
      <c r="R26" s="327"/>
      <c r="S26" s="327"/>
      <c r="T26" s="17"/>
      <c r="U26" s="17"/>
      <c r="V26" s="17"/>
    </row>
    <row r="27" spans="1:22">
      <c r="A27" s="317" t="s">
        <v>432</v>
      </c>
      <c r="B27" s="328">
        <f>'WW FS Direct CH4 Lubigi'!C7</f>
        <v>29055</v>
      </c>
      <c r="C27" s="300" t="s">
        <v>354</v>
      </c>
      <c r="D27" s="319">
        <f t="shared" si="2"/>
        <v>29055</v>
      </c>
      <c r="E27" s="300">
        <f t="shared" si="3"/>
        <v>6.4000000000000003E-3</v>
      </c>
      <c r="F27" s="300">
        <f>VLOOKUP($C27,'WW and FSM data'!$H$9:$Q$18, 10, FALSE)</f>
        <v>8.0000000000000002E-3</v>
      </c>
      <c r="G27" s="300">
        <f t="shared" si="4"/>
        <v>9.5999999999999992E-3</v>
      </c>
      <c r="H27" s="188">
        <f t="shared" si="5"/>
        <v>108607.59</v>
      </c>
      <c r="I27" s="188">
        <f t="shared" si="5"/>
        <v>135744.95999999999</v>
      </c>
      <c r="J27" s="188">
        <f t="shared" si="5"/>
        <v>162882.32999999999</v>
      </c>
      <c r="K27" s="188">
        <f t="shared" si="6"/>
        <v>695.08857599999999</v>
      </c>
      <c r="L27" s="188">
        <f t="shared" si="6"/>
        <v>1085.9596799999999</v>
      </c>
      <c r="M27" s="188">
        <f t="shared" si="6"/>
        <v>1563.6703679999998</v>
      </c>
      <c r="N27" s="188">
        <f>+K27*'Basic Data Input'!$K$27</f>
        <v>207136.39564800001</v>
      </c>
      <c r="O27" s="188">
        <f>+L27*'Basic Data Input'!$K$27</f>
        <v>323615.98463999998</v>
      </c>
      <c r="P27" s="188">
        <f>+M27*'Basic Data Input'!$K$27</f>
        <v>465973.76966399996</v>
      </c>
      <c r="Q27" s="238"/>
      <c r="R27" s="327"/>
      <c r="S27" s="327"/>
      <c r="T27" s="17"/>
      <c r="U27" s="17"/>
      <c r="V27" s="17"/>
    </row>
    <row r="28" spans="1:22">
      <c r="A28" s="317" t="s">
        <v>432</v>
      </c>
      <c r="B28" s="328">
        <f>'WW FS Direct CH4 Lubigi'!C8</f>
        <v>43582.5</v>
      </c>
      <c r="C28" s="300" t="s">
        <v>355</v>
      </c>
      <c r="D28" s="319">
        <f t="shared" si="2"/>
        <v>43582.5</v>
      </c>
      <c r="E28" s="300">
        <f t="shared" si="3"/>
        <v>4.0000000000000001E-3</v>
      </c>
      <c r="F28" s="300">
        <f>VLOOKUP($C28,'WW and FSM data'!$H$9:$Q$18, 10, FALSE)</f>
        <v>5.0000000000000001E-3</v>
      </c>
      <c r="G28" s="300">
        <f t="shared" si="4"/>
        <v>6.0000000000000001E-3</v>
      </c>
      <c r="H28" s="188">
        <f t="shared" si="5"/>
        <v>162911.38500000001</v>
      </c>
      <c r="I28" s="188">
        <f t="shared" si="5"/>
        <v>203617.43999999997</v>
      </c>
      <c r="J28" s="188">
        <f t="shared" si="5"/>
        <v>244323.495</v>
      </c>
      <c r="K28" s="188">
        <f t="shared" si="6"/>
        <v>651.6455400000001</v>
      </c>
      <c r="L28" s="188">
        <f t="shared" si="6"/>
        <v>1018.0871999999999</v>
      </c>
      <c r="M28" s="188">
        <f t="shared" si="6"/>
        <v>1465.9409700000001</v>
      </c>
      <c r="N28" s="188">
        <f>+K28*'Basic Data Input'!$K$27</f>
        <v>194190.37092000002</v>
      </c>
      <c r="O28" s="188">
        <f>+L28*'Basic Data Input'!$K$27</f>
        <v>303389.98559999996</v>
      </c>
      <c r="P28" s="188">
        <f>+M28*'Basic Data Input'!$K$27</f>
        <v>436850.40906000003</v>
      </c>
      <c r="Q28" s="238"/>
      <c r="R28" s="17"/>
      <c r="S28" s="17"/>
      <c r="T28" s="17"/>
      <c r="U28" s="17"/>
      <c r="V28" s="17"/>
    </row>
    <row r="29" spans="1:22">
      <c r="A29" s="220"/>
      <c r="B29" s="220"/>
      <c r="C29" s="202"/>
      <c r="D29" s="220"/>
      <c r="E29" s="220"/>
      <c r="F29" s="220"/>
      <c r="G29" s="220"/>
      <c r="H29" s="220"/>
      <c r="I29" s="220"/>
      <c r="J29" s="220"/>
      <c r="K29" s="160"/>
      <c r="L29" s="160"/>
      <c r="M29" s="160"/>
      <c r="N29" s="202"/>
      <c r="O29" s="202"/>
      <c r="P29" s="202"/>
      <c r="Q29" s="202"/>
      <c r="R29" s="17"/>
      <c r="S29" s="17"/>
      <c r="T29" s="17"/>
      <c r="U29" s="17"/>
      <c r="V29" s="17"/>
    </row>
    <row r="30" spans="1:22" ht="13.15" customHeight="1">
      <c r="A30" s="405" t="s">
        <v>426</v>
      </c>
      <c r="B30" s="405"/>
      <c r="C30" s="405"/>
      <c r="D30" s="220"/>
      <c r="E30" s="418" t="s">
        <v>427</v>
      </c>
      <c r="F30" s="418"/>
      <c r="G30" s="418"/>
      <c r="H30" s="418"/>
      <c r="I30" s="418"/>
      <c r="J30" s="418"/>
      <c r="K30" s="172">
        <f>SUM(K23:K28)</f>
        <v>3991.4438759999998</v>
      </c>
      <c r="L30" s="239">
        <f>SUM(L23:L28)</f>
        <v>6235.9636799999998</v>
      </c>
      <c r="M30" s="172">
        <f>SUM(M23:M28)</f>
        <v>8979.1470179999997</v>
      </c>
      <c r="N30" s="202"/>
      <c r="O30" s="202"/>
      <c r="P30" s="202"/>
      <c r="Q30" s="202"/>
      <c r="R30" s="428"/>
      <c r="S30" s="428"/>
      <c r="T30" s="17"/>
      <c r="U30" s="428"/>
      <c r="V30" s="428"/>
    </row>
    <row r="31" spans="1:22">
      <c r="A31" s="405"/>
      <c r="B31" s="405"/>
      <c r="C31" s="405"/>
      <c r="D31" s="220"/>
      <c r="E31" s="418" t="s">
        <v>428</v>
      </c>
      <c r="F31" s="418"/>
      <c r="G31" s="418"/>
      <c r="H31" s="418"/>
      <c r="I31" s="418"/>
      <c r="J31" s="418"/>
      <c r="K31" s="163"/>
      <c r="L31" s="160"/>
      <c r="M31" s="160"/>
      <c r="N31" s="172">
        <f>SUM(N23:N28)</f>
        <v>1189450.2750479998</v>
      </c>
      <c r="O31" s="239">
        <f>SUM(O23:O28)</f>
        <v>1858317.17664</v>
      </c>
      <c r="P31" s="172">
        <f>SUM(P23:P28)</f>
        <v>2675785.8113639997</v>
      </c>
      <c r="Q31" s="202"/>
      <c r="R31" s="135"/>
      <c r="S31" s="135"/>
      <c r="T31" s="17"/>
      <c r="U31" s="135"/>
      <c r="V31" s="135"/>
    </row>
    <row r="32" spans="1:22" ht="21">
      <c r="A32" s="192" t="s">
        <v>238</v>
      </c>
      <c r="B32" s="192" t="s">
        <v>244</v>
      </c>
      <c r="C32" s="192" t="s">
        <v>240</v>
      </c>
      <c r="D32" s="220"/>
      <c r="E32" s="220"/>
      <c r="F32" s="220"/>
      <c r="G32" s="220"/>
      <c r="H32" s="220"/>
      <c r="I32" s="220"/>
      <c r="J32" s="220"/>
      <c r="K32" s="160"/>
      <c r="L32" s="160"/>
      <c r="M32" s="160"/>
      <c r="N32" s="202"/>
      <c r="O32" s="202"/>
      <c r="P32" s="202"/>
      <c r="Q32" s="202"/>
      <c r="R32" s="134"/>
      <c r="S32" s="134"/>
      <c r="T32" s="17"/>
      <c r="U32" s="134"/>
      <c r="V32" s="135"/>
    </row>
    <row r="33" spans="1:22">
      <c r="A33" s="320">
        <v>3.738</v>
      </c>
      <c r="B33" s="320">
        <v>4.6719999999999997</v>
      </c>
      <c r="C33" s="320">
        <v>5.6059999999999999</v>
      </c>
      <c r="D33" s="240" t="s">
        <v>429</v>
      </c>
      <c r="E33" s="220"/>
      <c r="F33" s="220"/>
      <c r="G33" s="220"/>
      <c r="H33" s="220"/>
      <c r="I33" s="220"/>
      <c r="J33" s="220"/>
      <c r="K33" s="160"/>
      <c r="L33" s="160"/>
      <c r="M33" s="160"/>
      <c r="N33" s="202"/>
      <c r="O33" s="202"/>
      <c r="P33" s="202"/>
      <c r="Q33" s="202"/>
      <c r="R33" s="225"/>
      <c r="S33" s="224"/>
      <c r="T33" s="17"/>
      <c r="U33" s="152"/>
      <c r="V33" s="152"/>
    </row>
    <row r="34" spans="1:22">
      <c r="A34" s="220"/>
      <c r="B34" s="220"/>
      <c r="C34" s="220"/>
      <c r="D34" s="220"/>
      <c r="E34" s="72"/>
      <c r="F34" s="72"/>
      <c r="G34" s="72"/>
      <c r="H34" s="72"/>
      <c r="I34" s="72"/>
      <c r="J34" s="72"/>
      <c r="K34" s="72"/>
      <c r="L34" s="72"/>
      <c r="M34" s="72"/>
      <c r="N34" s="202"/>
      <c r="O34" s="202"/>
      <c r="P34" s="202"/>
      <c r="Q34" s="202"/>
      <c r="R34" s="135"/>
      <c r="S34" s="135"/>
      <c r="T34" s="17"/>
      <c r="U34" s="144"/>
      <c r="V34" s="144"/>
    </row>
    <row r="35" spans="1:22">
      <c r="A35" s="220"/>
      <c r="B35" s="220"/>
      <c r="C35" s="220"/>
      <c r="D35" s="220"/>
      <c r="E35" s="72"/>
      <c r="F35" s="72"/>
      <c r="G35" s="72"/>
      <c r="H35" s="72"/>
      <c r="I35" s="72"/>
      <c r="J35" s="72"/>
      <c r="K35" s="179"/>
      <c r="L35" s="172"/>
      <c r="M35" s="172"/>
      <c r="N35" s="202"/>
      <c r="O35" s="202"/>
      <c r="P35" s="202"/>
      <c r="Q35" s="202"/>
      <c r="R35" s="135"/>
      <c r="S35" s="135"/>
      <c r="T35" s="17"/>
      <c r="U35" s="17"/>
      <c r="V35" s="17"/>
    </row>
    <row r="36" spans="1:22">
      <c r="A36" s="145"/>
      <c r="B36" s="145"/>
      <c r="C36" s="145"/>
      <c r="D36" s="145"/>
      <c r="E36" s="423"/>
      <c r="F36" s="423"/>
      <c r="G36" s="423"/>
      <c r="H36" s="423"/>
      <c r="I36" s="423"/>
      <c r="J36" s="423"/>
      <c r="K36" s="147"/>
      <c r="L36" s="144"/>
      <c r="M36" s="144"/>
      <c r="N36" s="135"/>
      <c r="O36" s="135"/>
      <c r="P36" s="135"/>
      <c r="Q36" s="135"/>
      <c r="R36" s="135"/>
      <c r="S36" s="135"/>
      <c r="T36" s="17"/>
      <c r="U36" s="17"/>
      <c r="V36" s="17"/>
    </row>
    <row r="37" spans="1:22">
      <c r="A37" s="145"/>
      <c r="B37" s="145"/>
      <c r="C37" s="145"/>
      <c r="D37" s="145"/>
      <c r="E37" s="157"/>
      <c r="F37" s="236"/>
      <c r="G37" s="157"/>
      <c r="H37" s="157"/>
      <c r="I37" s="157"/>
      <c r="J37" s="157"/>
      <c r="K37" s="147"/>
      <c r="L37" s="144"/>
      <c r="M37" s="144"/>
      <c r="N37" s="17"/>
      <c r="O37" s="17"/>
      <c r="P37" s="17"/>
      <c r="Q37" s="17"/>
      <c r="R37" s="17"/>
      <c r="S37" s="17"/>
      <c r="T37" s="17"/>
      <c r="U37" s="17"/>
      <c r="V37" s="17"/>
    </row>
    <row r="38" spans="1:22">
      <c r="A38" s="145"/>
      <c r="B38" s="145"/>
      <c r="C38" s="145"/>
      <c r="D38" s="145"/>
      <c r="E38" s="157"/>
      <c r="F38" s="157"/>
      <c r="G38" s="157"/>
      <c r="H38" s="157"/>
      <c r="I38" s="157"/>
      <c r="J38" s="157"/>
      <c r="K38" s="147"/>
      <c r="L38" s="144"/>
      <c r="M38" s="144"/>
      <c r="N38" s="17"/>
      <c r="O38" s="17"/>
      <c r="P38" s="17"/>
      <c r="Q38" s="17"/>
      <c r="R38" s="17"/>
      <c r="S38" s="17"/>
      <c r="T38" s="17"/>
      <c r="U38" s="17"/>
      <c r="V38" s="17"/>
    </row>
    <row r="39" spans="1:22">
      <c r="A39" s="145"/>
      <c r="B39" s="145"/>
      <c r="C39" s="145"/>
      <c r="D39" s="145"/>
      <c r="E39" s="145"/>
      <c r="F39" s="145"/>
      <c r="G39" s="145"/>
      <c r="H39" s="145"/>
      <c r="I39" s="223"/>
      <c r="J39" s="135"/>
      <c r="K39" s="135"/>
      <c r="L39" s="144"/>
      <c r="M39" s="144"/>
      <c r="N39" s="17"/>
      <c r="O39" s="17"/>
      <c r="P39" s="17"/>
      <c r="Q39" s="17"/>
      <c r="R39" s="17"/>
      <c r="S39" s="17"/>
      <c r="T39" s="17"/>
      <c r="U39" s="17"/>
      <c r="V39" s="17"/>
    </row>
    <row r="40" spans="1:22">
      <c r="A40" s="153"/>
      <c r="B40" s="237"/>
      <c r="C40" s="237"/>
      <c r="D40" s="223"/>
      <c r="E40" s="237"/>
      <c r="F40" s="237"/>
      <c r="G40" s="237"/>
      <c r="H40" s="145"/>
      <c r="I40" s="145"/>
      <c r="J40" s="145"/>
      <c r="K40" s="135"/>
      <c r="L40" s="135"/>
      <c r="M40" s="135"/>
      <c r="N40" s="17"/>
      <c r="O40" s="17"/>
      <c r="P40" s="17"/>
      <c r="Q40" s="17"/>
      <c r="R40" s="17"/>
      <c r="S40" s="17"/>
      <c r="T40" s="17"/>
      <c r="U40" s="17"/>
      <c r="V40" s="17"/>
    </row>
    <row r="41" spans="1:22">
      <c r="A41" s="153"/>
      <c r="B41" s="237"/>
      <c r="C41" s="237"/>
      <c r="D41" s="145"/>
      <c r="E41" s="145"/>
      <c r="F41" s="145"/>
      <c r="G41" s="145"/>
      <c r="H41" s="145"/>
      <c r="I41" s="145"/>
      <c r="J41" s="145"/>
      <c r="K41" s="135"/>
      <c r="L41" s="135"/>
      <c r="M41" s="135"/>
      <c r="N41" s="17"/>
      <c r="O41" s="17"/>
      <c r="P41" s="17"/>
      <c r="Q41" s="17"/>
      <c r="R41" s="17"/>
      <c r="S41" s="17"/>
      <c r="T41" s="17"/>
      <c r="U41" s="17"/>
      <c r="V41" s="17"/>
    </row>
    <row r="42" spans="1:22">
      <c r="A42" s="153"/>
      <c r="B42" s="237"/>
      <c r="C42" s="237"/>
      <c r="D42" s="145"/>
      <c r="E42" s="145"/>
      <c r="F42" s="145"/>
      <c r="G42" s="145"/>
      <c r="H42" s="145"/>
      <c r="I42" s="145"/>
      <c r="J42" s="145"/>
      <c r="K42" s="17"/>
      <c r="L42" s="17"/>
      <c r="M42" s="17"/>
      <c r="N42" s="17"/>
      <c r="O42" s="17"/>
      <c r="P42" s="17"/>
      <c r="Q42" s="17"/>
      <c r="R42" s="17"/>
      <c r="S42" s="17"/>
      <c r="T42" s="17"/>
      <c r="U42" s="17"/>
      <c r="V42" s="17"/>
    </row>
    <row r="43" spans="1:22">
      <c r="A43" s="17"/>
      <c r="B43" s="17"/>
      <c r="C43" s="17"/>
      <c r="D43" s="17"/>
      <c r="E43" s="17"/>
      <c r="F43" s="17"/>
      <c r="G43" s="17"/>
      <c r="H43" s="423"/>
      <c r="I43" s="423"/>
      <c r="J43" s="423"/>
      <c r="K43" s="423"/>
      <c r="L43" s="423"/>
      <c r="M43" s="423"/>
      <c r="N43" s="439"/>
      <c r="O43" s="439"/>
      <c r="P43" s="440"/>
      <c r="Q43" s="440"/>
      <c r="R43" s="440"/>
      <c r="S43" s="440"/>
      <c r="T43" s="17"/>
      <c r="U43" s="17"/>
      <c r="V43" s="17"/>
    </row>
    <row r="44" spans="1:22">
      <c r="A44" s="153"/>
      <c r="B44" s="223"/>
      <c r="C44" s="223"/>
      <c r="D44" s="146"/>
      <c r="E44" s="18"/>
      <c r="F44" s="18"/>
      <c r="G44" s="18"/>
      <c r="H44" s="423"/>
      <c r="I44" s="423"/>
      <c r="J44" s="423"/>
      <c r="K44" s="423"/>
      <c r="L44" s="423"/>
      <c r="M44" s="423"/>
      <c r="N44" s="441"/>
      <c r="O44" s="441"/>
      <c r="P44" s="421"/>
      <c r="Q44" s="421"/>
      <c r="R44" s="421"/>
      <c r="S44" s="421"/>
      <c r="T44" s="17"/>
      <c r="U44" s="17"/>
      <c r="V44" s="17"/>
    </row>
    <row r="45" spans="1:22">
      <c r="A45" s="17"/>
      <c r="B45" s="17"/>
      <c r="C45" s="17"/>
      <c r="D45" s="17"/>
      <c r="E45" s="17"/>
      <c r="F45" s="17"/>
      <c r="G45" s="17"/>
      <c r="H45" s="17"/>
      <c r="I45" s="17"/>
      <c r="J45" s="17"/>
      <c r="K45" s="17"/>
      <c r="L45" s="17"/>
      <c r="M45" s="17"/>
      <c r="N45" s="17"/>
      <c r="O45" s="17"/>
      <c r="P45" s="17"/>
      <c r="Q45" s="17"/>
      <c r="R45" s="17"/>
      <c r="S45" s="17"/>
      <c r="T45" s="17"/>
      <c r="U45" s="17"/>
      <c r="V45" s="17"/>
    </row>
    <row r="46" spans="1:22">
      <c r="A46" s="17"/>
      <c r="B46" s="17"/>
      <c r="C46" s="17"/>
      <c r="D46" s="17"/>
      <c r="E46" s="17"/>
      <c r="F46" s="17"/>
      <c r="G46" s="17"/>
      <c r="H46" s="17"/>
      <c r="I46" s="17"/>
      <c r="J46" s="17"/>
      <c r="K46" s="17"/>
      <c r="L46" s="17"/>
      <c r="M46" s="17"/>
      <c r="N46" s="17"/>
      <c r="O46" s="17"/>
      <c r="P46" s="17"/>
      <c r="Q46" s="17"/>
      <c r="R46" s="17"/>
      <c r="S46" s="17"/>
      <c r="T46" s="17"/>
      <c r="U46" s="17"/>
      <c r="V46" s="17"/>
    </row>
  </sheetData>
  <mergeCells count="30">
    <mergeCell ref="P44:Q44"/>
    <mergeCell ref="R44:S44"/>
    <mergeCell ref="A11:C12"/>
    <mergeCell ref="N3:P4"/>
    <mergeCell ref="E12:J12"/>
    <mergeCell ref="A18:G18"/>
    <mergeCell ref="E20:G21"/>
    <mergeCell ref="H20:J21"/>
    <mergeCell ref="R24:S24"/>
    <mergeCell ref="A30:C31"/>
    <mergeCell ref="E30:J30"/>
    <mergeCell ref="E31:J31"/>
    <mergeCell ref="H44:M44"/>
    <mergeCell ref="N44:O44"/>
    <mergeCell ref="E36:J36"/>
    <mergeCell ref="H43:M43"/>
    <mergeCell ref="N43:O43"/>
    <mergeCell ref="P43:Q43"/>
    <mergeCell ref="R43:S43"/>
    <mergeCell ref="E11:J11"/>
    <mergeCell ref="R23:S23"/>
    <mergeCell ref="K20:M21"/>
    <mergeCell ref="N20:P21"/>
    <mergeCell ref="U30:V30"/>
    <mergeCell ref="R30:S30"/>
    <mergeCell ref="A1:G1"/>
    <mergeCell ref="E3:G4"/>
    <mergeCell ref="H3:J4"/>
    <mergeCell ref="K3:M4"/>
    <mergeCell ref="U3:V3"/>
  </mergeCells>
  <pageMargins left="0.7" right="0.7" top="0.75" bottom="0.75" header="0.3" footer="0.3"/>
  <pageSetup paperSize="9" scale="64" orientation="landscape"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'WW and FSM data'!$H$9:$H$18</xm:f>
          </x14:formula1>
          <xm:sqref>C6:C9 C23:C28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0000"/>
  </sheetPr>
  <dimension ref="A1:G26"/>
  <sheetViews>
    <sheetView workbookViewId="0">
      <selection activeCell="D25" sqref="D25"/>
    </sheetView>
  </sheetViews>
  <sheetFormatPr defaultColWidth="8.85546875" defaultRowHeight="11.45"/>
  <cols>
    <col min="1" max="1" width="14.28515625" style="12" customWidth="1"/>
    <col min="2" max="2" width="18.5703125" style="12" customWidth="1"/>
    <col min="3" max="3" width="19.140625" style="12" customWidth="1"/>
    <col min="4" max="4" width="23.85546875" style="12" customWidth="1"/>
    <col min="5" max="5" width="27.28515625" style="12" customWidth="1"/>
    <col min="6" max="6" width="15" style="12" customWidth="1"/>
    <col min="7" max="16384" width="8.85546875" style="12"/>
  </cols>
  <sheetData>
    <row r="1" spans="1:7" ht="12">
      <c r="A1" s="137" t="s">
        <v>433</v>
      </c>
      <c r="B1" s="136"/>
      <c r="C1" s="136"/>
      <c r="D1" s="136"/>
      <c r="E1" s="136"/>
      <c r="F1" s="136"/>
      <c r="G1" s="136"/>
    </row>
    <row r="2" spans="1:7" s="13" customFormat="1" ht="23.1">
      <c r="A2" s="138"/>
      <c r="B2" s="141" t="s">
        <v>311</v>
      </c>
      <c r="C2" s="141" t="s">
        <v>312</v>
      </c>
      <c r="D2" s="141" t="s">
        <v>313</v>
      </c>
      <c r="E2" s="141" t="s">
        <v>314</v>
      </c>
      <c r="F2" s="141" t="s">
        <v>315</v>
      </c>
      <c r="G2" s="141"/>
    </row>
    <row r="3" spans="1:7">
      <c r="A3" s="138" t="s">
        <v>316</v>
      </c>
      <c r="B3" s="326">
        <v>0</v>
      </c>
      <c r="C3" s="322">
        <v>2.5499999999999998</v>
      </c>
      <c r="D3" s="136">
        <f>+B3*C3</f>
        <v>0</v>
      </c>
      <c r="E3" s="139">
        <f>+'Basic Data Input'!L5/10</f>
        <v>18000</v>
      </c>
      <c r="F3" s="140">
        <f>+D3/E3</f>
        <v>0</v>
      </c>
      <c r="G3" s="136"/>
    </row>
    <row r="4" spans="1:7" ht="23.1">
      <c r="A4" s="138"/>
      <c r="B4" s="141" t="s">
        <v>317</v>
      </c>
      <c r="C4" s="141" t="s">
        <v>318</v>
      </c>
      <c r="D4" s="136"/>
      <c r="E4" s="139"/>
      <c r="F4" s="140"/>
      <c r="G4" s="136"/>
    </row>
    <row r="5" spans="1:7">
      <c r="A5" s="138" t="s">
        <v>319</v>
      </c>
      <c r="B5" s="321">
        <v>0</v>
      </c>
      <c r="C5" s="322">
        <f>0.91</f>
        <v>0.91</v>
      </c>
      <c r="D5" s="139">
        <f>+B5*C5*1000</f>
        <v>0</v>
      </c>
      <c r="E5" s="139">
        <f>E3</f>
        <v>18000</v>
      </c>
      <c r="F5" s="140">
        <f>+D5/E5</f>
        <v>0</v>
      </c>
      <c r="G5" s="136"/>
    </row>
    <row r="6" spans="1:7">
      <c r="A6" s="136"/>
      <c r="B6" s="136"/>
      <c r="C6" s="136"/>
      <c r="D6" s="136"/>
      <c r="E6" s="136"/>
      <c r="F6" s="140"/>
      <c r="G6" s="136"/>
    </row>
    <row r="7" spans="1:7">
      <c r="A7" s="138" t="s">
        <v>10</v>
      </c>
      <c r="B7" s="136"/>
      <c r="C7" s="136"/>
      <c r="D7" s="143">
        <f>+D3+D5</f>
        <v>0</v>
      </c>
      <c r="E7" s="136"/>
      <c r="F7" s="142">
        <f>+D7/E3</f>
        <v>0</v>
      </c>
      <c r="G7" s="136"/>
    </row>
    <row r="8" spans="1:7">
      <c r="A8" s="136"/>
      <c r="B8" s="136"/>
      <c r="C8" s="136"/>
      <c r="D8" s="136"/>
      <c r="E8" s="136"/>
      <c r="F8" s="136"/>
      <c r="G8" s="136"/>
    </row>
    <row r="10" spans="1:7" ht="12">
      <c r="A10" s="137" t="s">
        <v>434</v>
      </c>
      <c r="B10" s="136"/>
      <c r="C10" s="136"/>
      <c r="D10" s="136"/>
      <c r="E10" s="136"/>
      <c r="F10" s="136"/>
      <c r="G10" s="136"/>
    </row>
    <row r="11" spans="1:7" ht="23.1">
      <c r="A11" s="138"/>
      <c r="B11" s="141" t="s">
        <v>311</v>
      </c>
      <c r="C11" s="141" t="s">
        <v>312</v>
      </c>
      <c r="D11" s="141" t="s">
        <v>313</v>
      </c>
      <c r="E11" s="141" t="s">
        <v>314</v>
      </c>
      <c r="F11" s="141" t="s">
        <v>315</v>
      </c>
      <c r="G11" s="141"/>
    </row>
    <row r="12" spans="1:7">
      <c r="A12" s="138" t="s">
        <v>316</v>
      </c>
      <c r="B12" s="326">
        <v>0</v>
      </c>
      <c r="C12" s="322">
        <v>2.5499999999999998</v>
      </c>
      <c r="D12" s="136">
        <f>+B12*C12</f>
        <v>0</v>
      </c>
      <c r="E12" s="139">
        <f>+'Basic Data Input'!L14</f>
        <v>2250000</v>
      </c>
      <c r="F12" s="140">
        <f>+D12/E12</f>
        <v>0</v>
      </c>
      <c r="G12" s="136"/>
    </row>
    <row r="13" spans="1:7" ht="23.1">
      <c r="A13" s="138"/>
      <c r="B13" s="141" t="s">
        <v>317</v>
      </c>
      <c r="C13" s="141" t="s">
        <v>318</v>
      </c>
      <c r="D13" s="136"/>
      <c r="E13" s="139"/>
      <c r="F13" s="140"/>
      <c r="G13" s="136"/>
    </row>
    <row r="14" spans="1:7">
      <c r="A14" s="138" t="s">
        <v>319</v>
      </c>
      <c r="B14" s="321">
        <v>0</v>
      </c>
      <c r="C14" s="322">
        <f>0.91</f>
        <v>0.91</v>
      </c>
      <c r="D14" s="139">
        <f>+B14*C14*1000</f>
        <v>0</v>
      </c>
      <c r="E14" s="139">
        <f>E12</f>
        <v>2250000</v>
      </c>
      <c r="F14" s="140">
        <f>+D14/E14</f>
        <v>0</v>
      </c>
      <c r="G14" s="136"/>
    </row>
    <row r="15" spans="1:7">
      <c r="A15" s="136"/>
      <c r="B15" s="136"/>
      <c r="C15" s="136"/>
      <c r="D15" s="136"/>
      <c r="E15" s="136"/>
      <c r="F15" s="140"/>
      <c r="G15" s="136"/>
    </row>
    <row r="16" spans="1:7">
      <c r="A16" s="138" t="s">
        <v>10</v>
      </c>
      <c r="B16" s="136"/>
      <c r="C16" s="136"/>
      <c r="D16" s="143">
        <f>+D12+D14</f>
        <v>0</v>
      </c>
      <c r="E16" s="136"/>
      <c r="F16" s="142">
        <f>+D16/E12</f>
        <v>0</v>
      </c>
      <c r="G16" s="136"/>
    </row>
    <row r="17" spans="1:7">
      <c r="A17" s="136"/>
      <c r="B17" s="136"/>
      <c r="C17" s="136"/>
      <c r="D17" s="136"/>
      <c r="E17" s="136"/>
      <c r="F17" s="136"/>
      <c r="G17" s="136"/>
    </row>
    <row r="19" spans="1:7" ht="12">
      <c r="A19" s="137" t="s">
        <v>435</v>
      </c>
      <c r="B19" s="136"/>
      <c r="C19" s="136"/>
      <c r="D19" s="136"/>
      <c r="E19" s="136"/>
      <c r="F19" s="136"/>
      <c r="G19" s="136"/>
    </row>
    <row r="20" spans="1:7" ht="23.1">
      <c r="A20" s="138"/>
      <c r="B20" s="141" t="s">
        <v>311</v>
      </c>
      <c r="C20" s="141" t="s">
        <v>312</v>
      </c>
      <c r="D20" s="141" t="s">
        <v>313</v>
      </c>
      <c r="E20" s="141" t="s">
        <v>314</v>
      </c>
      <c r="F20" s="141" t="s">
        <v>315</v>
      </c>
      <c r="G20" s="141"/>
    </row>
    <row r="21" spans="1:7">
      <c r="A21" s="138" t="s">
        <v>316</v>
      </c>
      <c r="B21" s="326">
        <v>18200</v>
      </c>
      <c r="C21" s="322">
        <v>2.5499999999999998</v>
      </c>
      <c r="D21" s="136">
        <f>+B21*C21</f>
        <v>46410</v>
      </c>
      <c r="E21" s="139">
        <f>+'Basic Data Input'!L5*0.9</f>
        <v>162000</v>
      </c>
      <c r="F21" s="140">
        <f>+D21/E21</f>
        <v>0.2864814814814815</v>
      </c>
      <c r="G21" s="136"/>
    </row>
    <row r="22" spans="1:7" ht="23.1">
      <c r="A22" s="138"/>
      <c r="B22" s="141" t="s">
        <v>317</v>
      </c>
      <c r="C22" s="141" t="s">
        <v>318</v>
      </c>
      <c r="D22" s="136"/>
      <c r="E22" s="139"/>
      <c r="F22" s="140"/>
      <c r="G22" s="136"/>
    </row>
    <row r="23" spans="1:7">
      <c r="A23" s="138" t="s">
        <v>319</v>
      </c>
      <c r="B23" s="321">
        <v>3146</v>
      </c>
      <c r="C23" s="322">
        <f>0.91</f>
        <v>0.91</v>
      </c>
      <c r="D23" s="139">
        <f>+B23*C23*1000</f>
        <v>2862860</v>
      </c>
      <c r="E23" s="139">
        <f>E21</f>
        <v>162000</v>
      </c>
      <c r="F23" s="140">
        <f>+D23/E23</f>
        <v>17.671975308641976</v>
      </c>
      <c r="G23" s="136"/>
    </row>
    <row r="24" spans="1:7">
      <c r="A24" s="136"/>
      <c r="B24" s="136"/>
      <c r="C24" s="136"/>
      <c r="D24" s="136"/>
      <c r="E24" s="136"/>
      <c r="F24" s="140"/>
      <c r="G24" s="136"/>
    </row>
    <row r="25" spans="1:7">
      <c r="A25" s="138" t="s">
        <v>10</v>
      </c>
      <c r="B25" s="136"/>
      <c r="C25" s="136"/>
      <c r="D25" s="143">
        <f>+D21+D23</f>
        <v>2909270</v>
      </c>
      <c r="E25" s="136"/>
      <c r="F25" s="142">
        <f>+D25/E21</f>
        <v>17.958456790123456</v>
      </c>
      <c r="G25" s="136"/>
    </row>
    <row r="26" spans="1:7">
      <c r="A26" s="136"/>
      <c r="B26" s="136"/>
      <c r="C26" s="136"/>
      <c r="D26" s="136"/>
      <c r="E26" s="136"/>
      <c r="F26" s="136"/>
      <c r="G26" s="136"/>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Q12"/>
  <sheetViews>
    <sheetView workbookViewId="0">
      <selection activeCell="A13" sqref="A13"/>
    </sheetView>
  </sheetViews>
  <sheetFormatPr defaultRowHeight="12.6"/>
  <cols>
    <col min="4" max="4" width="16" customWidth="1"/>
    <col min="11" max="11" width="11.42578125" customWidth="1"/>
  </cols>
  <sheetData>
    <row r="1" spans="1:17">
      <c r="A1" s="177" t="s">
        <v>436</v>
      </c>
      <c r="B1" s="160"/>
      <c r="C1" s="160"/>
      <c r="D1" s="160"/>
      <c r="E1" s="160"/>
      <c r="F1" s="160"/>
      <c r="G1" s="160"/>
      <c r="H1" s="160"/>
      <c r="I1" s="160"/>
      <c r="J1" s="160"/>
      <c r="K1" s="160"/>
      <c r="L1" s="160"/>
      <c r="M1" s="160"/>
      <c r="N1" s="72"/>
    </row>
    <row r="2" spans="1:17">
      <c r="A2" s="177" t="s">
        <v>437</v>
      </c>
      <c r="B2" s="160"/>
      <c r="C2" s="160"/>
      <c r="D2" s="160"/>
      <c r="E2" s="160"/>
      <c r="F2" s="160"/>
      <c r="G2" s="160"/>
      <c r="H2" s="160"/>
      <c r="I2" s="160"/>
      <c r="J2" s="160"/>
      <c r="K2" s="160"/>
      <c r="L2" s="160"/>
      <c r="M2" s="160"/>
      <c r="N2" s="72"/>
    </row>
    <row r="3" spans="1:17" ht="52.5">
      <c r="A3" s="177"/>
      <c r="B3" s="177"/>
      <c r="C3" s="162" t="s">
        <v>269</v>
      </c>
      <c r="D3" s="192" t="s">
        <v>270</v>
      </c>
      <c r="E3" s="192" t="s">
        <v>271</v>
      </c>
      <c r="F3" s="192" t="s">
        <v>272</v>
      </c>
      <c r="G3" s="192" t="s">
        <v>273</v>
      </c>
      <c r="H3" s="192" t="s">
        <v>274</v>
      </c>
      <c r="I3" s="192" t="s">
        <v>275</v>
      </c>
      <c r="J3" s="192" t="s">
        <v>276</v>
      </c>
      <c r="K3" s="192" t="s">
        <v>277</v>
      </c>
      <c r="L3" s="192" t="s">
        <v>278</v>
      </c>
      <c r="M3" s="192" t="s">
        <v>279</v>
      </c>
      <c r="N3" s="72"/>
    </row>
    <row r="4" spans="1:17">
      <c r="A4" s="160"/>
      <c r="B4" s="160"/>
      <c r="C4" s="160"/>
      <c r="D4" s="160"/>
      <c r="E4" s="160"/>
      <c r="F4" s="160"/>
      <c r="G4" s="160"/>
      <c r="H4" s="160"/>
      <c r="I4" s="160"/>
      <c r="J4" s="160"/>
      <c r="K4" s="160"/>
      <c r="L4" s="160"/>
      <c r="M4" s="160"/>
      <c r="N4" s="72"/>
    </row>
    <row r="5" spans="1:17">
      <c r="A5" s="160"/>
      <c r="B5" s="310">
        <v>1</v>
      </c>
      <c r="C5" s="298" t="s">
        <v>282</v>
      </c>
      <c r="D5" s="310">
        <v>422000</v>
      </c>
      <c r="E5" s="172">
        <f>D5*B5</f>
        <v>422000</v>
      </c>
      <c r="F5" s="184">
        <f>VLOOKUP(C5,'Basic Data Input'!J$29:K$32,2)</f>
        <v>0.2</v>
      </c>
      <c r="G5" s="172">
        <f>E5*F5</f>
        <v>84400</v>
      </c>
      <c r="H5" s="218">
        <f>G5+G6</f>
        <v>84400</v>
      </c>
      <c r="I5" s="219">
        <f>H5/B5</f>
        <v>84400</v>
      </c>
      <c r="J5" s="220">
        <v>30</v>
      </c>
      <c r="K5" s="222">
        <f>H5/J5</f>
        <v>2813.3333333333335</v>
      </c>
      <c r="L5" s="160">
        <f>+'Basic Data Input'!L5</f>
        <v>180000</v>
      </c>
      <c r="M5" s="221">
        <f>K5/L5</f>
        <v>1.5629629629629632E-2</v>
      </c>
      <c r="N5" s="72"/>
      <c r="Q5" t="s">
        <v>438</v>
      </c>
    </row>
    <row r="6" spans="1:17">
      <c r="A6" s="160"/>
      <c r="B6" s="160"/>
      <c r="C6" s="202"/>
      <c r="D6" s="160"/>
      <c r="E6" s="160"/>
      <c r="F6" s="160"/>
      <c r="G6" s="160"/>
      <c r="H6" s="160"/>
      <c r="I6" s="160"/>
      <c r="J6" s="160"/>
      <c r="K6" s="160"/>
      <c r="L6" s="160"/>
      <c r="M6" s="160"/>
      <c r="N6" s="72"/>
    </row>
    <row r="7" spans="1:17">
      <c r="A7" s="177" t="s">
        <v>439</v>
      </c>
      <c r="B7" s="160"/>
      <c r="C7" s="160"/>
      <c r="D7" s="160"/>
      <c r="E7" s="160"/>
      <c r="F7" s="160"/>
      <c r="G7" s="160"/>
      <c r="H7" s="160"/>
      <c r="I7" s="160"/>
      <c r="J7" s="160"/>
      <c r="K7" s="160"/>
      <c r="L7" s="160"/>
      <c r="M7" s="160"/>
      <c r="N7" s="72"/>
    </row>
    <row r="8" spans="1:17">
      <c r="A8" s="177" t="s">
        <v>440</v>
      </c>
      <c r="B8" s="160"/>
      <c r="C8" s="160"/>
      <c r="D8" s="160"/>
      <c r="E8" s="160"/>
      <c r="F8" s="160"/>
      <c r="G8" s="160"/>
      <c r="H8" s="160"/>
      <c r="I8" s="160"/>
      <c r="J8" s="160"/>
      <c r="K8" s="160"/>
      <c r="L8" s="160"/>
      <c r="M8" s="160"/>
      <c r="N8" s="72"/>
    </row>
    <row r="9" spans="1:17" ht="52.5">
      <c r="A9" s="160"/>
      <c r="B9" s="160"/>
      <c r="C9" s="162" t="s">
        <v>269</v>
      </c>
      <c r="D9" s="192" t="s">
        <v>270</v>
      </c>
      <c r="E9" s="192" t="s">
        <v>271</v>
      </c>
      <c r="F9" s="192" t="s">
        <v>272</v>
      </c>
      <c r="G9" s="192" t="s">
        <v>273</v>
      </c>
      <c r="H9" s="192" t="s">
        <v>274</v>
      </c>
      <c r="I9" s="192" t="s">
        <v>275</v>
      </c>
      <c r="J9" s="192" t="s">
        <v>276</v>
      </c>
      <c r="K9" s="192" t="s">
        <v>277</v>
      </c>
      <c r="L9" s="192" t="s">
        <v>278</v>
      </c>
      <c r="M9" s="192" t="s">
        <v>279</v>
      </c>
      <c r="N9" s="72"/>
    </row>
    <row r="10" spans="1:17">
      <c r="A10" s="160"/>
      <c r="B10" s="160"/>
      <c r="C10" s="160"/>
      <c r="D10" s="160"/>
      <c r="E10" s="160"/>
      <c r="F10" s="160"/>
      <c r="G10" s="160"/>
      <c r="H10" s="160"/>
      <c r="I10" s="160"/>
      <c r="J10" s="160"/>
      <c r="K10" s="160"/>
      <c r="L10" s="160"/>
      <c r="M10" s="160"/>
      <c r="N10" s="72"/>
    </row>
    <row r="11" spans="1:17">
      <c r="A11" s="160"/>
      <c r="B11" s="310">
        <v>1</v>
      </c>
      <c r="C11" s="298" t="s">
        <v>282</v>
      </c>
      <c r="D11" s="310">
        <f>4000*2200</f>
        <v>8800000</v>
      </c>
      <c r="E11" s="172">
        <f>D11*B11</f>
        <v>8800000</v>
      </c>
      <c r="F11" s="184">
        <f>VLOOKUP(C11,'Basic Data Input'!J$29:K$32,2)</f>
        <v>0.2</v>
      </c>
      <c r="G11" s="172">
        <f>E11*F11</f>
        <v>1760000</v>
      </c>
      <c r="H11" s="218">
        <f>G11+G12</f>
        <v>1760000</v>
      </c>
      <c r="I11" s="219">
        <f>H11/B11</f>
        <v>1760000</v>
      </c>
      <c r="J11" s="220">
        <v>30</v>
      </c>
      <c r="K11" s="222">
        <f>H11/J11</f>
        <v>58666.666666666664</v>
      </c>
      <c r="L11" s="160">
        <f>27%*2500000</f>
        <v>675000</v>
      </c>
      <c r="M11" s="221">
        <f>K11/L11</f>
        <v>8.6913580246913577E-2</v>
      </c>
      <c r="N11" s="72"/>
    </row>
    <row r="12" spans="1:17">
      <c r="A12" s="72"/>
      <c r="B12" s="72"/>
      <c r="C12" s="72"/>
      <c r="D12" s="72"/>
      <c r="E12" s="72"/>
      <c r="F12" s="72"/>
      <c r="G12" s="72"/>
      <c r="H12" s="72"/>
      <c r="I12" s="72"/>
      <c r="J12" s="72"/>
      <c r="K12" s="72"/>
      <c r="L12" s="72"/>
      <c r="M12" s="72"/>
      <c r="N12" s="72"/>
    </row>
  </sheetData>
  <dataValidations count="1">
    <dataValidation type="list" allowBlank="1" showInputMessage="1" showErrorMessage="1" sqref="C11" xr:uid="{00000000-0002-0000-1000-000000000000}">
      <formula1>$J$29:$J$32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1000000}">
          <x14:formula1>
            <xm:f>'Basic Data Input'!$J$29:$J$32</xm:f>
          </x14:formula1>
          <xm:sqref>C5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195"/>
  <sheetViews>
    <sheetView workbookViewId="0">
      <pane ySplit="1" topLeftCell="A92" activePane="bottomLeft" state="frozen"/>
      <selection pane="bottomLeft" activeCell="H137" sqref="H137"/>
    </sheetView>
  </sheetViews>
  <sheetFormatPr defaultColWidth="8.85546875" defaultRowHeight="9.9499999999999993"/>
  <cols>
    <col min="1" max="1" width="4.28515625" style="17" customWidth="1"/>
    <col min="2" max="3" width="19.28515625" style="17" customWidth="1"/>
    <col min="4" max="9" width="16.7109375" style="17" customWidth="1"/>
    <col min="10" max="10" width="13.5703125" style="38" customWidth="1"/>
    <col min="11" max="11" width="14.85546875" style="17" customWidth="1"/>
    <col min="12" max="12" width="10.7109375" style="17" bestFit="1" customWidth="1"/>
    <col min="13" max="13" width="8.85546875" style="17" customWidth="1"/>
    <col min="14" max="14" width="9.140625" style="17" bestFit="1" customWidth="1"/>
    <col min="15" max="15" width="8.85546875" style="17"/>
    <col min="16" max="16" width="12.42578125" style="17" customWidth="1"/>
    <col min="17" max="17" width="14.5703125" style="17" customWidth="1"/>
    <col min="18" max="18" width="13.140625" style="17" customWidth="1"/>
    <col min="19" max="16384" width="8.85546875" style="17"/>
  </cols>
  <sheetData>
    <row r="1" spans="1:24" ht="31.5">
      <c r="A1" s="250"/>
      <c r="B1" s="251"/>
      <c r="C1" s="251"/>
      <c r="D1" s="255" t="s">
        <v>40</v>
      </c>
      <c r="E1" s="255" t="s">
        <v>41</v>
      </c>
      <c r="F1" s="255" t="s">
        <v>42</v>
      </c>
      <c r="G1" s="255" t="s">
        <v>43</v>
      </c>
      <c r="H1" s="255" t="s">
        <v>44</v>
      </c>
      <c r="I1" s="255" t="s">
        <v>45</v>
      </c>
      <c r="J1" s="255" t="s">
        <v>46</v>
      </c>
      <c r="K1" s="255" t="s">
        <v>47</v>
      </c>
      <c r="L1" s="250" t="s">
        <v>48</v>
      </c>
      <c r="M1" s="255" t="s">
        <v>49</v>
      </c>
      <c r="N1" s="255" t="s">
        <v>49</v>
      </c>
    </row>
    <row r="2" spans="1:24" ht="10.5">
      <c r="A2" s="252">
        <v>0.08</v>
      </c>
      <c r="B2" s="250" t="s">
        <v>50</v>
      </c>
      <c r="C2" s="250" t="s">
        <v>6</v>
      </c>
      <c r="D2" s="249"/>
      <c r="E2" s="249"/>
      <c r="F2" s="60">
        <f>+'Basic Data Input'!$R$17*'End to end calculation'!B3</f>
        <v>0</v>
      </c>
      <c r="G2" s="249"/>
      <c r="H2" s="60">
        <f>+B3*'Basic Data Input'!R18</f>
        <v>25248879.888750002</v>
      </c>
      <c r="I2" s="249"/>
      <c r="J2" s="79">
        <f>SUM(D2:I2)</f>
        <v>25248879.888750002</v>
      </c>
      <c r="K2" s="253">
        <f>SUM(J2:J5)</f>
        <v>33287767.667794101</v>
      </c>
      <c r="L2" s="364">
        <f>+K2/K$47</f>
        <v>0.17602572849169984</v>
      </c>
      <c r="M2" s="254">
        <f>+K2/B3</f>
        <v>184.93204259885613</v>
      </c>
      <c r="N2" s="346">
        <f>+J2/B3</f>
        <v>140.27155493750001</v>
      </c>
    </row>
    <row r="3" spans="1:24">
      <c r="A3" s="250"/>
      <c r="B3" s="250">
        <f>+'Basic Data Input'!L5</f>
        <v>180000</v>
      </c>
      <c r="C3" s="250" t="s">
        <v>7</v>
      </c>
      <c r="D3" s="249"/>
      <c r="E3" s="249"/>
      <c r="F3" s="60">
        <f>+'Basic Data Input'!$S$17*'End to end calculation'!B3</f>
        <v>0</v>
      </c>
      <c r="G3" s="249"/>
      <c r="H3" s="60">
        <f>+'Basic Data Input'!S18*'End to end calculation'!B3</f>
        <v>4380583.8364799991</v>
      </c>
      <c r="I3" s="249"/>
      <c r="J3" s="79">
        <f>SUM(D3:I3)</f>
        <v>4380583.8364799991</v>
      </c>
      <c r="K3" s="79"/>
      <c r="L3" s="364"/>
      <c r="M3" s="80"/>
      <c r="N3" s="346">
        <f>+J3/B3</f>
        <v>24.336576869333328</v>
      </c>
      <c r="P3" s="154"/>
      <c r="R3" s="250" t="s">
        <v>51</v>
      </c>
      <c r="S3" s="250" t="s">
        <v>52</v>
      </c>
      <c r="T3" s="250" t="s">
        <v>53</v>
      </c>
      <c r="U3" s="250" t="s">
        <v>9</v>
      </c>
      <c r="W3" s="17" t="s">
        <v>10</v>
      </c>
      <c r="X3" s="17" t="s">
        <v>54</v>
      </c>
    </row>
    <row r="4" spans="1:24" ht="12.75" customHeight="1">
      <c r="A4" s="250"/>
      <c r="B4" s="250"/>
      <c r="C4" s="250" t="s">
        <v>8</v>
      </c>
      <c r="D4" s="249"/>
      <c r="E4" s="249"/>
      <c r="F4" s="60">
        <f>+'Basic Data Input'!$T$17*'End to end calculation'!B3</f>
        <v>14999.040000000003</v>
      </c>
      <c r="G4" s="249"/>
      <c r="H4" s="60">
        <f>+'Basic Data Input'!T18*'End to end calculation'!B3</f>
        <v>2909270</v>
      </c>
      <c r="I4" s="249"/>
      <c r="J4" s="79">
        <f>SUM(D4:I4)</f>
        <v>2924269.04</v>
      </c>
      <c r="K4" s="79"/>
      <c r="L4" s="364"/>
      <c r="M4" s="80"/>
      <c r="N4" s="346">
        <f>+J4/B3</f>
        <v>16.24593911111111</v>
      </c>
      <c r="P4" s="389" t="s">
        <v>55</v>
      </c>
      <c r="Q4" s="17" t="s">
        <v>56</v>
      </c>
      <c r="R4" s="347">
        <f>+N37</f>
        <v>9.6371406249999971</v>
      </c>
      <c r="S4" s="347">
        <f>+N38</f>
        <v>4.6491405714285721</v>
      </c>
      <c r="T4" s="347">
        <f>+N39</f>
        <v>0</v>
      </c>
      <c r="U4" s="347">
        <f>+N40</f>
        <v>2.4287735934731933</v>
      </c>
      <c r="W4" s="158">
        <f>+K37</f>
        <v>9402218.3193197418</v>
      </c>
      <c r="X4" s="158">
        <f>+M37</f>
        <v>16.715054789901764</v>
      </c>
    </row>
    <row r="5" spans="1:24" ht="11.25" customHeight="1">
      <c r="A5" s="250"/>
      <c r="B5" s="250"/>
      <c r="C5" s="250" t="s">
        <v>57</v>
      </c>
      <c r="D5" s="249"/>
      <c r="E5" s="249"/>
      <c r="F5" s="60">
        <f>+'Basic Data Input'!U17*'End to end calculation'!$B$3</f>
        <v>731221.5692307693</v>
      </c>
      <c r="G5" s="249"/>
      <c r="H5" s="60">
        <f>+'Basic Data Input'!U18*'End to end calculation'!B3</f>
        <v>2813.3333333333339</v>
      </c>
      <c r="I5" s="249"/>
      <c r="J5" s="79">
        <f>SUM(D5:I5)</f>
        <v>734034.90256410267</v>
      </c>
      <c r="K5" s="79"/>
      <c r="L5" s="364"/>
      <c r="M5" s="80"/>
      <c r="N5" s="346">
        <f>+J5/B3</f>
        <v>4.0779716809116815</v>
      </c>
      <c r="P5" s="389"/>
      <c r="Q5" s="17" t="s">
        <v>58</v>
      </c>
      <c r="R5" s="347">
        <f>+N17</f>
        <v>58.625499381748476</v>
      </c>
      <c r="S5" s="347">
        <f>+N18</f>
        <v>15.126797026199823</v>
      </c>
      <c r="T5" s="347">
        <f>+N19</f>
        <v>0</v>
      </c>
      <c r="U5" s="347">
        <f>+N20</f>
        <v>2.4287735934731933</v>
      </c>
      <c r="W5" s="158">
        <f>+K17</f>
        <v>41137777.800767608</v>
      </c>
      <c r="X5" s="158">
        <f>+M17</f>
        <v>76.181070001421503</v>
      </c>
    </row>
    <row r="6" spans="1:24" ht="11.25" customHeight="1">
      <c r="A6" s="250"/>
      <c r="B6" s="250"/>
      <c r="C6" s="250"/>
      <c r="D6" s="249"/>
      <c r="E6" s="249"/>
      <c r="F6" s="249"/>
      <c r="G6" s="249"/>
      <c r="H6" s="249"/>
      <c r="I6" s="249"/>
      <c r="J6" s="79"/>
      <c r="K6" s="79"/>
      <c r="L6" s="364"/>
      <c r="M6" s="80"/>
      <c r="N6" s="250"/>
      <c r="P6" s="389"/>
      <c r="Q6" s="17" t="s">
        <v>59</v>
      </c>
      <c r="R6" s="347">
        <f>+N32</f>
        <v>97.174061881748457</v>
      </c>
      <c r="S6" s="347">
        <f>+N33</f>
        <v>33.723359311914116</v>
      </c>
      <c r="T6" s="347">
        <f>+N34</f>
        <v>0.85134222222222222</v>
      </c>
      <c r="U6" s="347">
        <f>+N35</f>
        <v>2.4287735934731933</v>
      </c>
      <c r="W6" s="158">
        <f>+K32</f>
        <v>6037989.1654211096</v>
      </c>
      <c r="X6" s="158">
        <f>+M32</f>
        <v>134.17753700935799</v>
      </c>
    </row>
    <row r="7" spans="1:24" ht="11.25" customHeight="1">
      <c r="A7" s="252">
        <v>0.05</v>
      </c>
      <c r="B7" s="250" t="s">
        <v>60</v>
      </c>
      <c r="C7" s="250" t="s">
        <v>6</v>
      </c>
      <c r="D7" s="249"/>
      <c r="E7" s="249"/>
      <c r="F7" s="60">
        <f>+'Basic Data Input'!$R$17*'End to end calculation'!B8</f>
        <v>0</v>
      </c>
      <c r="G7" s="249"/>
      <c r="H7" s="249"/>
      <c r="I7" s="76">
        <f>+B8*('Containment MCF EF'!E17+'Containment MCF EF'!E18)/2</f>
        <v>4336713.2812499991</v>
      </c>
      <c r="J7" s="79">
        <f>SUM(D7:I7)</f>
        <v>4336713.2812499991</v>
      </c>
      <c r="K7" s="253">
        <f>SUM(J7:J10)</f>
        <v>6895214.4191620881</v>
      </c>
      <c r="L7" s="364">
        <f>+K7/K$47</f>
        <v>3.6461896554684486E-2</v>
      </c>
      <c r="M7" s="254">
        <f>+K7/B8</f>
        <v>61.290794836996341</v>
      </c>
      <c r="N7" s="346">
        <f>+J7/B8</f>
        <v>38.548562499999989</v>
      </c>
      <c r="P7" s="389"/>
      <c r="Q7" s="17" t="s">
        <v>61</v>
      </c>
      <c r="R7" s="347">
        <f>+N27</f>
        <v>97.174061881748472</v>
      </c>
      <c r="S7" s="347">
        <f>+N28</f>
        <v>33.723359311914116</v>
      </c>
      <c r="T7" s="347">
        <f>+N29</f>
        <v>0.85134222222222222</v>
      </c>
      <c r="U7" s="347">
        <f>+N30</f>
        <v>2.4287735934731933</v>
      </c>
      <c r="W7" s="158">
        <f>+K27</f>
        <v>15094972.913552774</v>
      </c>
      <c r="X7" s="158">
        <f>+M27</f>
        <v>134.17753700935799</v>
      </c>
    </row>
    <row r="8" spans="1:24" ht="11.25" customHeight="1">
      <c r="A8" s="250"/>
      <c r="B8" s="250">
        <f>+'Basic Data Input'!L8</f>
        <v>112500</v>
      </c>
      <c r="C8" s="250" t="s">
        <v>7</v>
      </c>
      <c r="D8" s="249"/>
      <c r="E8" s="249"/>
      <c r="F8" s="60">
        <f>+'Basic Data Input'!$S$17*'End to end calculation'!B8</f>
        <v>0</v>
      </c>
      <c r="G8" s="249"/>
      <c r="H8" s="249"/>
      <c r="I8" s="76">
        <f>+B8*('Containment MCF EF'!I17+'Containment MCF EF'!I18)/2</f>
        <v>2092113.2571428574</v>
      </c>
      <c r="J8" s="79">
        <f>SUM(D8:I8)</f>
        <v>2092113.2571428574</v>
      </c>
      <c r="K8" s="79"/>
      <c r="L8" s="364"/>
      <c r="M8" s="348"/>
      <c r="N8" s="346">
        <f>+J8/B8</f>
        <v>18.596562285714288</v>
      </c>
      <c r="P8" s="389"/>
      <c r="Q8" s="17" t="s">
        <v>62</v>
      </c>
      <c r="R8" s="347">
        <f>+N22</f>
        <v>109.97711718174848</v>
      </c>
      <c r="S8" s="347">
        <f>+N23</f>
        <v>17.614294412866492</v>
      </c>
      <c r="T8" s="347">
        <f>+N24</f>
        <v>0.85134222222222222</v>
      </c>
      <c r="U8" s="347">
        <f>+N25</f>
        <v>2.547292111991712</v>
      </c>
      <c r="W8" s="158">
        <f>+K22</f>
        <v>64840072.734770305</v>
      </c>
      <c r="X8" s="158">
        <f>+M22</f>
        <v>130.99004592882889</v>
      </c>
    </row>
    <row r="9" spans="1:24" ht="12.75" customHeight="1">
      <c r="A9" s="250"/>
      <c r="B9" s="250"/>
      <c r="C9" s="250" t="s">
        <v>8</v>
      </c>
      <c r="D9" s="249"/>
      <c r="E9" s="249"/>
      <c r="F9" s="60">
        <f>+'Basic Data Input'!$T$17*'End to end calculation'!B8</f>
        <v>9374.4000000000015</v>
      </c>
      <c r="G9" s="249"/>
      <c r="H9" s="249"/>
      <c r="I9" s="249"/>
      <c r="J9" s="79">
        <f>SUM(D9:I9)</f>
        <v>9374.4000000000015</v>
      </c>
      <c r="K9" s="79"/>
      <c r="L9" s="364"/>
      <c r="M9" s="348"/>
      <c r="N9" s="346">
        <f>+J9/B8</f>
        <v>8.3328000000000013E-2</v>
      </c>
      <c r="P9" s="390" t="s">
        <v>63</v>
      </c>
      <c r="Q9" s="17" t="s">
        <v>64</v>
      </c>
      <c r="R9" s="347">
        <f>+N12</f>
        <v>38.548562499999989</v>
      </c>
      <c r="S9" s="347">
        <f>+N13</f>
        <v>18.596562285714288</v>
      </c>
      <c r="T9" s="347">
        <f>+N14</f>
        <v>8.3328000000000013E-2</v>
      </c>
      <c r="U9" s="347">
        <f>+N15</f>
        <v>4.0623420512820516</v>
      </c>
      <c r="W9" s="158">
        <f>+K12</f>
        <v>12411385.954491757</v>
      </c>
      <c r="X9" s="158">
        <f>+M12</f>
        <v>61.290794836996334</v>
      </c>
    </row>
    <row r="10" spans="1:24" ht="11.25" customHeight="1">
      <c r="A10" s="250"/>
      <c r="B10" s="250"/>
      <c r="C10" s="250" t="s">
        <v>57</v>
      </c>
      <c r="D10" s="249"/>
      <c r="E10" s="249"/>
      <c r="F10" s="60">
        <f>+'Basic Data Input'!U17*'End to end calculation'!B8</f>
        <v>457013.48076923081</v>
      </c>
      <c r="G10" s="249"/>
      <c r="H10" s="249"/>
      <c r="I10" s="249"/>
      <c r="J10" s="79">
        <f>SUM(D10:I10)</f>
        <v>457013.48076923081</v>
      </c>
      <c r="K10" s="79"/>
      <c r="L10" s="364"/>
      <c r="M10" s="348"/>
      <c r="N10" s="346">
        <f>+J10/B8</f>
        <v>4.0623420512820516</v>
      </c>
      <c r="P10" s="390"/>
      <c r="Q10" s="17" t="s">
        <v>65</v>
      </c>
      <c r="R10" s="347">
        <f>+N7</f>
        <v>38.548562499999989</v>
      </c>
      <c r="S10" s="347">
        <f>+N8</f>
        <v>18.596562285714288</v>
      </c>
      <c r="T10" s="347">
        <f>+N9</f>
        <v>8.3328000000000013E-2</v>
      </c>
      <c r="U10" s="347">
        <f>+N10</f>
        <v>4.0623420512820516</v>
      </c>
      <c r="W10" s="158">
        <f>+K7</f>
        <v>6895214.4191620881</v>
      </c>
      <c r="X10" s="158">
        <f>+M7</f>
        <v>61.290794836996341</v>
      </c>
    </row>
    <row r="11" spans="1:24" ht="11.25" customHeight="1">
      <c r="A11" s="250"/>
      <c r="B11" s="250"/>
      <c r="C11" s="250"/>
      <c r="D11" s="249"/>
      <c r="E11" s="249"/>
      <c r="F11" s="249"/>
      <c r="G11" s="249"/>
      <c r="H11" s="249"/>
      <c r="I11" s="249"/>
      <c r="J11" s="79"/>
      <c r="K11" s="79"/>
      <c r="L11" s="364"/>
      <c r="M11" s="348"/>
      <c r="N11" s="250"/>
      <c r="P11" s="390"/>
      <c r="Q11" s="17" t="s">
        <v>66</v>
      </c>
      <c r="R11" s="347">
        <f>+N2</f>
        <v>140.27155493750001</v>
      </c>
      <c r="S11" s="347">
        <f>+N3</f>
        <v>24.336576869333328</v>
      </c>
      <c r="T11" s="347">
        <f>+N4</f>
        <v>16.24593911111111</v>
      </c>
      <c r="U11" s="347">
        <f>+N5</f>
        <v>4.0779716809116815</v>
      </c>
      <c r="W11" s="158">
        <f>+K2</f>
        <v>33287767.667794101</v>
      </c>
      <c r="X11" s="158">
        <f>+M2</f>
        <v>184.93204259885613</v>
      </c>
    </row>
    <row r="12" spans="1:24" ht="10.5">
      <c r="A12" s="252">
        <v>0.09</v>
      </c>
      <c r="B12" s="250" t="s">
        <v>22</v>
      </c>
      <c r="C12" s="250" t="s">
        <v>6</v>
      </c>
      <c r="D12" s="249"/>
      <c r="E12" s="249"/>
      <c r="F12" s="60">
        <f>+'Basic Data Input'!$R$17*'End to end calculation'!B13</f>
        <v>0</v>
      </c>
      <c r="G12" s="76">
        <f>+B13*('Containment MCF EF'!E17+'Containment MCF EF'!E18)/2</f>
        <v>7806083.9062499981</v>
      </c>
      <c r="H12" s="249"/>
      <c r="I12" s="249"/>
      <c r="J12" s="79">
        <f>SUM(D12:I12)</f>
        <v>7806083.9062499981</v>
      </c>
      <c r="K12" s="253">
        <f>SUM(J12:J15)</f>
        <v>12411385.954491757</v>
      </c>
      <c r="L12" s="364">
        <f>+K12/K$47</f>
        <v>6.563141379843207E-2</v>
      </c>
      <c r="M12" s="254">
        <f>+K12/B13</f>
        <v>61.290794836996334</v>
      </c>
      <c r="N12" s="346">
        <f>+J12/B13</f>
        <v>38.548562499999989</v>
      </c>
    </row>
    <row r="13" spans="1:24">
      <c r="A13" s="250"/>
      <c r="B13" s="250">
        <f>+'Basic Data Input'!L10</f>
        <v>202500</v>
      </c>
      <c r="C13" s="250" t="s">
        <v>7</v>
      </c>
      <c r="D13" s="249"/>
      <c r="E13" s="249"/>
      <c r="F13" s="60">
        <f>+'Basic Data Input'!$S$17*'End to end calculation'!B13</f>
        <v>0</v>
      </c>
      <c r="G13" s="76">
        <f>+B13*('Containment MCF EF'!I17+'Containment MCF EF'!I18)/2</f>
        <v>3765803.8628571434</v>
      </c>
      <c r="H13" s="249"/>
      <c r="I13" s="249"/>
      <c r="J13" s="79">
        <f>SUM(D13:I13)</f>
        <v>3765803.8628571434</v>
      </c>
      <c r="K13" s="79"/>
      <c r="L13" s="364"/>
      <c r="M13" s="80"/>
      <c r="N13" s="346">
        <f>+J13/B13</f>
        <v>18.596562285714288</v>
      </c>
    </row>
    <row r="14" spans="1:24">
      <c r="A14" s="250"/>
      <c r="B14" s="250"/>
      <c r="C14" s="250" t="s">
        <v>8</v>
      </c>
      <c r="D14" s="249"/>
      <c r="E14" s="249"/>
      <c r="F14" s="60">
        <f>+'Basic Data Input'!$T$17*'End to end calculation'!B13</f>
        <v>16873.920000000002</v>
      </c>
      <c r="G14" s="249"/>
      <c r="H14" s="249"/>
      <c r="I14" s="249"/>
      <c r="J14" s="79">
        <f>SUM(D14:I14)</f>
        <v>16873.920000000002</v>
      </c>
      <c r="K14" s="79"/>
      <c r="L14" s="364"/>
      <c r="M14" s="80"/>
      <c r="N14" s="346">
        <f>+J14/B13</f>
        <v>8.3328000000000013E-2</v>
      </c>
    </row>
    <row r="15" spans="1:24">
      <c r="A15" s="250"/>
      <c r="B15" s="250"/>
      <c r="C15" s="250" t="s">
        <v>57</v>
      </c>
      <c r="D15" s="249"/>
      <c r="E15" s="249"/>
      <c r="F15" s="60">
        <f>+'Basic Data Input'!U17*'End to end calculation'!B13</f>
        <v>822624.2653846154</v>
      </c>
      <c r="G15" s="249"/>
      <c r="H15" s="249"/>
      <c r="I15" s="249"/>
      <c r="J15" s="79">
        <f>SUM(D15:I15)</f>
        <v>822624.2653846154</v>
      </c>
      <c r="K15" s="79"/>
      <c r="L15" s="364"/>
      <c r="M15" s="80"/>
      <c r="N15" s="346">
        <f>+J15/B13</f>
        <v>4.0623420512820516</v>
      </c>
    </row>
    <row r="16" spans="1:24">
      <c r="A16" s="250"/>
      <c r="B16" s="250"/>
      <c r="C16" s="250"/>
      <c r="D16" s="249"/>
      <c r="E16" s="249"/>
      <c r="F16" s="249"/>
      <c r="G16" s="249"/>
      <c r="H16" s="249"/>
      <c r="I16" s="249"/>
      <c r="J16" s="79"/>
      <c r="K16" s="79"/>
      <c r="L16" s="364"/>
      <c r="M16" s="80"/>
      <c r="N16" s="250"/>
    </row>
    <row r="17" spans="1:14" ht="10.5">
      <c r="A17" s="252">
        <v>0.24</v>
      </c>
      <c r="B17" s="250" t="s">
        <v>67</v>
      </c>
      <c r="C17" s="250" t="s">
        <v>6</v>
      </c>
      <c r="D17" s="60">
        <f>+'Basic Data Input'!R14*'End to end calculation'!B18</f>
        <v>31657769.666144177</v>
      </c>
      <c r="E17" s="249"/>
      <c r="F17" s="249"/>
      <c r="G17" s="249"/>
      <c r="H17" s="249"/>
      <c r="I17" s="249"/>
      <c r="J17" s="79">
        <f>SUM(D17:I17)</f>
        <v>31657769.666144177</v>
      </c>
      <c r="K17" s="253">
        <f>SUM(J17:J20)</f>
        <v>41137777.800767608</v>
      </c>
      <c r="L17" s="364">
        <f>+K17/K$47</f>
        <v>0.21753658515574648</v>
      </c>
      <c r="M17" s="254">
        <f>+K17/B18</f>
        <v>76.181070001421503</v>
      </c>
      <c r="N17" s="346">
        <f>+J17/B18</f>
        <v>58.625499381748476</v>
      </c>
    </row>
    <row r="18" spans="1:14">
      <c r="A18" s="250"/>
      <c r="B18" s="250">
        <f>+'Basic Data Input'!L6</f>
        <v>540000</v>
      </c>
      <c r="C18" s="250" t="s">
        <v>7</v>
      </c>
      <c r="D18" s="60">
        <f>+'Basic Data Input'!S14*'End to end calculation'!B18</f>
        <v>8168470.3941479046</v>
      </c>
      <c r="E18" s="249"/>
      <c r="F18" s="249"/>
      <c r="G18" s="249"/>
      <c r="H18" s="249"/>
      <c r="I18" s="249"/>
      <c r="J18" s="79">
        <f>SUM(D18:I18)</f>
        <v>8168470.3941479046</v>
      </c>
      <c r="K18" s="79"/>
      <c r="L18" s="364"/>
      <c r="M18" s="80"/>
      <c r="N18" s="346">
        <f>+J18/B18</f>
        <v>15.126797026199823</v>
      </c>
    </row>
    <row r="19" spans="1:14">
      <c r="A19" s="250"/>
      <c r="B19" s="250"/>
      <c r="C19" s="250" t="s">
        <v>8</v>
      </c>
      <c r="D19" s="249"/>
      <c r="E19" s="249"/>
      <c r="F19" s="249"/>
      <c r="G19" s="249"/>
      <c r="H19" s="249"/>
      <c r="I19" s="249"/>
      <c r="J19" s="79">
        <f>SUM(D19:I19)</f>
        <v>0</v>
      </c>
      <c r="K19" s="79"/>
      <c r="L19" s="364"/>
      <c r="M19" s="80"/>
      <c r="N19" s="346">
        <f>+J19/B18</f>
        <v>0</v>
      </c>
    </row>
    <row r="20" spans="1:14">
      <c r="A20" s="250"/>
      <c r="B20" s="250"/>
      <c r="C20" s="250" t="s">
        <v>57</v>
      </c>
      <c r="D20" s="60">
        <f>+'Basic Data Input'!U14*'End to end calculation'!B18</f>
        <v>1311537.7404755244</v>
      </c>
      <c r="E20" s="249"/>
      <c r="F20" s="249"/>
      <c r="G20" s="249"/>
      <c r="H20" s="249"/>
      <c r="I20" s="249"/>
      <c r="J20" s="79">
        <f>SUM(D20:I20)</f>
        <v>1311537.7404755244</v>
      </c>
      <c r="K20" s="79"/>
      <c r="L20" s="364"/>
      <c r="M20" s="80"/>
      <c r="N20" s="346">
        <f>+J20/B18</f>
        <v>2.4287735934731933</v>
      </c>
    </row>
    <row r="21" spans="1:14">
      <c r="A21" s="250"/>
      <c r="B21" s="250"/>
      <c r="C21" s="250"/>
      <c r="D21" s="249"/>
      <c r="E21" s="249"/>
      <c r="F21" s="249"/>
      <c r="G21" s="249"/>
      <c r="H21" s="249"/>
      <c r="I21" s="249"/>
      <c r="J21" s="79"/>
      <c r="K21" s="79"/>
      <c r="L21" s="364"/>
      <c r="M21" s="80"/>
      <c r="N21" s="250"/>
    </row>
    <row r="22" spans="1:14" ht="10.5">
      <c r="A22" s="252">
        <v>0.22</v>
      </c>
      <c r="B22" s="250" t="s">
        <v>68</v>
      </c>
      <c r="C22" s="250" t="s">
        <v>6</v>
      </c>
      <c r="D22" s="60">
        <f>+'Basic Data Input'!$R$14*'End to end calculation'!B23</f>
        <v>29019622.193965495</v>
      </c>
      <c r="E22" s="249"/>
      <c r="F22" s="60">
        <f>+'Basic Data Input'!$R$15*'End to end calculation'!B23</f>
        <v>0</v>
      </c>
      <c r="G22" s="249"/>
      <c r="H22" s="60">
        <f>+'Basic Data Input'!$R$16*'End to end calculation'!B23</f>
        <v>25419050.811000004</v>
      </c>
      <c r="I22" s="249"/>
      <c r="J22" s="79">
        <f>SUM(D22:I22)</f>
        <v>54438673.004965499</v>
      </c>
      <c r="K22" s="253">
        <f>SUM(J22:J25)</f>
        <v>64840072.734770305</v>
      </c>
      <c r="L22" s="364">
        <f>+K22/K$47</f>
        <v>0.34287433006916002</v>
      </c>
      <c r="M22" s="254">
        <f>+K22/B23</f>
        <v>130.99004592882889</v>
      </c>
      <c r="N22" s="346">
        <f>+J22/B23</f>
        <v>109.97711718174848</v>
      </c>
    </row>
    <row r="23" spans="1:14">
      <c r="A23" s="250"/>
      <c r="B23" s="250">
        <f>+'Basic Data Input'!$L$7</f>
        <v>495000</v>
      </c>
      <c r="C23" s="250" t="s">
        <v>7</v>
      </c>
      <c r="D23" s="60">
        <f>+'Basic Data Input'!$S$14*'End to end calculation'!B23</f>
        <v>7487764.5279689124</v>
      </c>
      <c r="E23" s="249"/>
      <c r="F23" s="60">
        <f>+'Basic Data Input'!$S$15*'End to end calculation'!B23</f>
        <v>0</v>
      </c>
      <c r="G23" s="249"/>
      <c r="H23" s="60">
        <f>+'Basic Data Input'!$S$16*'End to end calculation'!B23</f>
        <v>1231311.2064</v>
      </c>
      <c r="I23" s="249"/>
      <c r="J23" s="79">
        <f>SUM(D23:I23)</f>
        <v>8719075.7343689129</v>
      </c>
      <c r="K23" s="79"/>
      <c r="L23" s="364"/>
      <c r="M23" s="80"/>
      <c r="N23" s="346">
        <f>+J23/B23</f>
        <v>17.614294412866492</v>
      </c>
    </row>
    <row r="24" spans="1:14">
      <c r="A24" s="250"/>
      <c r="B24" s="250"/>
      <c r="C24" s="250" t="s">
        <v>8</v>
      </c>
      <c r="D24" s="60">
        <f>+'Basic Data Input'!$T$14*'End to end calculation'!B23</f>
        <v>0</v>
      </c>
      <c r="E24" s="249"/>
      <c r="F24" s="60">
        <f>+'Basic Data Input'!$T$15*'End to end calculation'!B23</f>
        <v>421414.40000000002</v>
      </c>
      <c r="G24" s="249"/>
      <c r="H24" s="60">
        <f>+'Basic Data Input'!$T$16*'End to end calculation'!B23</f>
        <v>0</v>
      </c>
      <c r="I24" s="249"/>
      <c r="J24" s="79">
        <f>SUM(D24:I24)</f>
        <v>421414.40000000002</v>
      </c>
      <c r="K24" s="79"/>
      <c r="L24" s="364"/>
      <c r="M24" s="80"/>
      <c r="N24" s="346">
        <f>+J24/B23</f>
        <v>0.85134222222222222</v>
      </c>
    </row>
    <row r="25" spans="1:14">
      <c r="A25" s="250"/>
      <c r="B25" s="250"/>
      <c r="C25" s="250" t="s">
        <v>57</v>
      </c>
      <c r="D25" s="60">
        <f>+'Basic Data Input'!$U$14*'End to end calculation'!B23</f>
        <v>1202242.9287692306</v>
      </c>
      <c r="E25" s="249"/>
      <c r="F25" s="60">
        <f>+'Basic Data Input'!$U$15*'End to end calculation'!B23</f>
        <v>0</v>
      </c>
      <c r="G25" s="249"/>
      <c r="H25" s="60">
        <f>+'Basic Data Input'!$U$16*'End to end calculation'!B23</f>
        <v>58666.666666666664</v>
      </c>
      <c r="I25" s="249"/>
      <c r="J25" s="79">
        <f>SUM(D25:I25)</f>
        <v>1260909.5954358974</v>
      </c>
      <c r="K25" s="79"/>
      <c r="L25" s="364"/>
      <c r="M25" s="80"/>
      <c r="N25" s="346">
        <f>+J25/B23</f>
        <v>2.547292111991712</v>
      </c>
    </row>
    <row r="26" spans="1:14">
      <c r="A26" s="250"/>
      <c r="B26" s="250"/>
      <c r="C26" s="250"/>
      <c r="D26" s="249"/>
      <c r="E26" s="249"/>
      <c r="F26" s="249"/>
      <c r="G26" s="249"/>
      <c r="H26" s="249"/>
      <c r="I26" s="249"/>
      <c r="J26" s="79"/>
      <c r="K26" s="79"/>
      <c r="L26" s="364"/>
      <c r="M26" s="80"/>
      <c r="N26" s="250"/>
    </row>
    <row r="27" spans="1:14" ht="10.5">
      <c r="A27" s="252">
        <v>0.05</v>
      </c>
      <c r="B27" s="250" t="s">
        <v>69</v>
      </c>
      <c r="C27" s="250" t="s">
        <v>6</v>
      </c>
      <c r="D27" s="60">
        <f>+'Basic Data Input'!$R$14*'End to end calculation'!B28</f>
        <v>6595368.6804467039</v>
      </c>
      <c r="E27" s="249"/>
      <c r="F27" s="60">
        <f>+'Basic Data Input'!$R$15*'End to end calculation'!B28</f>
        <v>0</v>
      </c>
      <c r="G27" s="249"/>
      <c r="H27" s="249"/>
      <c r="I27" s="60">
        <f>+'End to end calculation'!B28*('Containment MCF EF'!E17+'Containment MCF EF'!E18)/2</f>
        <v>4336713.2812499991</v>
      </c>
      <c r="J27" s="79">
        <f>SUM(D27:I27)</f>
        <v>10932081.961696703</v>
      </c>
      <c r="K27" s="253">
        <f>SUM(J27:J30)</f>
        <v>15094972.913552774</v>
      </c>
      <c r="L27" s="364">
        <f>+K27/K$47</f>
        <v>7.9822222691170439E-2</v>
      </c>
      <c r="M27" s="254">
        <f>+K27/B28</f>
        <v>134.17753700935799</v>
      </c>
      <c r="N27" s="346">
        <f>+J27/B28</f>
        <v>97.174061881748472</v>
      </c>
    </row>
    <row r="28" spans="1:14">
      <c r="A28" s="250"/>
      <c r="B28" s="250">
        <f>+'Basic Data Input'!$L$9</f>
        <v>112500</v>
      </c>
      <c r="C28" s="250" t="s">
        <v>7</v>
      </c>
      <c r="D28" s="60">
        <f>+'Basic Data Input'!$S$14*'End to end calculation'!B28</f>
        <v>1701764.66544748</v>
      </c>
      <c r="E28" s="249"/>
      <c r="F28" s="60">
        <f>+'Basic Data Input'!$S$15*'End to end calculation'!B28</f>
        <v>0</v>
      </c>
      <c r="G28" s="249"/>
      <c r="H28" s="249"/>
      <c r="I28" s="60">
        <f>+B28*('Containment MCF EF'!I17+'Containment MCF EF'!I18)/2</f>
        <v>2092113.2571428574</v>
      </c>
      <c r="J28" s="79">
        <f>SUM(D28:I28)</f>
        <v>3793877.9225903377</v>
      </c>
      <c r="K28" s="79"/>
      <c r="L28" s="364"/>
      <c r="M28" s="80"/>
      <c r="N28" s="346">
        <f>+J28/B28</f>
        <v>33.723359311914116</v>
      </c>
    </row>
    <row r="29" spans="1:14">
      <c r="A29" s="250"/>
      <c r="B29" s="250"/>
      <c r="C29" s="250" t="s">
        <v>8</v>
      </c>
      <c r="D29" s="60">
        <f>+'Basic Data Input'!$T$14*'End to end calculation'!B28</f>
        <v>0</v>
      </c>
      <c r="E29" s="249"/>
      <c r="F29" s="60">
        <f>+'Basic Data Input'!$T$15*'End to end calculation'!B28</f>
        <v>95776</v>
      </c>
      <c r="G29" s="249"/>
      <c r="H29" s="249"/>
      <c r="I29" s="249"/>
      <c r="J29" s="79">
        <f>SUM(D29:I29)</f>
        <v>95776</v>
      </c>
      <c r="K29" s="79"/>
      <c r="L29" s="364"/>
      <c r="M29" s="80"/>
      <c r="N29" s="346">
        <f>+J29/B28</f>
        <v>0.85134222222222222</v>
      </c>
    </row>
    <row r="30" spans="1:14">
      <c r="A30" s="250"/>
      <c r="B30" s="250"/>
      <c r="C30" s="250" t="s">
        <v>57</v>
      </c>
      <c r="D30" s="60">
        <f>+'Basic Data Input'!$U$14*'End to end calculation'!B28</f>
        <v>273237.02926573425</v>
      </c>
      <c r="E30" s="249"/>
      <c r="F30" s="60">
        <f>+'Basic Data Input'!$U$15*'End to end calculation'!B28</f>
        <v>0</v>
      </c>
      <c r="G30" s="249"/>
      <c r="H30" s="249"/>
      <c r="I30" s="249"/>
      <c r="J30" s="79">
        <f>SUM(D30:I30)</f>
        <v>273237.02926573425</v>
      </c>
      <c r="K30" s="79"/>
      <c r="L30" s="364"/>
      <c r="M30" s="80"/>
      <c r="N30" s="346">
        <f>+J30/B28</f>
        <v>2.4287735934731933</v>
      </c>
    </row>
    <row r="31" spans="1:14">
      <c r="A31" s="250"/>
      <c r="B31" s="250"/>
      <c r="C31" s="250"/>
      <c r="D31" s="249"/>
      <c r="E31" s="249"/>
      <c r="F31" s="249"/>
      <c r="G31" s="249"/>
      <c r="H31" s="249"/>
      <c r="I31" s="249"/>
      <c r="J31" s="79"/>
      <c r="K31" s="79"/>
      <c r="L31" s="364"/>
      <c r="M31" s="80"/>
      <c r="N31" s="250"/>
    </row>
    <row r="32" spans="1:14" ht="10.5">
      <c r="A32" s="252">
        <v>0.02</v>
      </c>
      <c r="B32" s="250" t="s">
        <v>70</v>
      </c>
      <c r="C32" s="250" t="s">
        <v>6</v>
      </c>
      <c r="D32" s="60">
        <f>+'Basic Data Input'!$R$14*'End to end calculation'!B33</f>
        <v>2638147.4721786813</v>
      </c>
      <c r="E32" s="249"/>
      <c r="F32" s="60">
        <f>+'Basic Data Input'!$R$15*'End to end calculation'!B33</f>
        <v>0</v>
      </c>
      <c r="G32" s="60">
        <f>+B33*('Containment MCF EF'!E17+'Containment MCF EF'!E18)/2</f>
        <v>1734685.3124999995</v>
      </c>
      <c r="H32" s="249"/>
      <c r="I32" s="249"/>
      <c r="J32" s="79">
        <f>SUM(D32:I32)</f>
        <v>4372832.7846786808</v>
      </c>
      <c r="K32" s="253">
        <f>SUM(J32:J35)</f>
        <v>6037989.1654211096</v>
      </c>
      <c r="L32" s="364">
        <f>+K32/K$47</f>
        <v>3.1928889076468174E-2</v>
      </c>
      <c r="M32" s="254">
        <f>+K32/B33</f>
        <v>134.17753700935799</v>
      </c>
      <c r="N32" s="346">
        <f>+J32/B33</f>
        <v>97.174061881748457</v>
      </c>
    </row>
    <row r="33" spans="1:14">
      <c r="A33" s="250"/>
      <c r="B33" s="250">
        <f>+'Basic Data Input'!$L$11</f>
        <v>45000</v>
      </c>
      <c r="C33" s="250" t="s">
        <v>7</v>
      </c>
      <c r="D33" s="60">
        <f>+'Basic Data Input'!$S$14*'End to end calculation'!B33</f>
        <v>680705.86617899197</v>
      </c>
      <c r="E33" s="249"/>
      <c r="F33" s="60">
        <f>+'Basic Data Input'!$S$15*'End to end calculation'!B33</f>
        <v>0</v>
      </c>
      <c r="G33" s="60">
        <f>+B33*('Containment MCF EF'!I17+'Containment MCF EF'!I18)/2</f>
        <v>836845.30285714299</v>
      </c>
      <c r="H33" s="249"/>
      <c r="I33" s="249"/>
      <c r="J33" s="79">
        <f>SUM(D33:I33)</f>
        <v>1517551.1690361351</v>
      </c>
      <c r="K33" s="79"/>
      <c r="L33" s="364"/>
      <c r="M33" s="80"/>
      <c r="N33" s="346">
        <f>+J33/B33</f>
        <v>33.723359311914116</v>
      </c>
    </row>
    <row r="34" spans="1:14">
      <c r="A34" s="250"/>
      <c r="B34" s="250"/>
      <c r="C34" s="250" t="s">
        <v>8</v>
      </c>
      <c r="D34" s="60">
        <f>+'Basic Data Input'!$T$14*'End to end calculation'!B33</f>
        <v>0</v>
      </c>
      <c r="E34" s="249"/>
      <c r="F34" s="60">
        <f>+'Basic Data Input'!$T$15*'End to end calculation'!B33</f>
        <v>38310.400000000001</v>
      </c>
      <c r="G34" s="249"/>
      <c r="H34" s="249"/>
      <c r="I34" s="249"/>
      <c r="J34" s="79">
        <f>SUM(D34:I34)</f>
        <v>38310.400000000001</v>
      </c>
      <c r="K34" s="79"/>
      <c r="L34" s="364"/>
      <c r="M34" s="80"/>
      <c r="N34" s="346">
        <f>+J34/B33</f>
        <v>0.85134222222222222</v>
      </c>
    </row>
    <row r="35" spans="1:14">
      <c r="A35" s="250"/>
      <c r="B35" s="250"/>
      <c r="C35" s="250" t="s">
        <v>57</v>
      </c>
      <c r="D35" s="60">
        <f>+'Basic Data Input'!$U$14*'End to end calculation'!B33</f>
        <v>109294.81170629369</v>
      </c>
      <c r="E35" s="249"/>
      <c r="F35" s="60">
        <f>+'Basic Data Input'!$U$15*'End to end calculation'!B33</f>
        <v>0</v>
      </c>
      <c r="G35" s="249"/>
      <c r="H35" s="249"/>
      <c r="I35" s="249"/>
      <c r="J35" s="79">
        <f>SUM(D35:I35)</f>
        <v>109294.81170629369</v>
      </c>
      <c r="K35" s="79"/>
      <c r="L35" s="364"/>
      <c r="M35" s="80"/>
      <c r="N35" s="346">
        <f>+J35/B33</f>
        <v>2.4287735934731933</v>
      </c>
    </row>
    <row r="36" spans="1:14">
      <c r="A36" s="250"/>
      <c r="B36" s="250"/>
      <c r="C36" s="250"/>
      <c r="D36" s="249"/>
      <c r="E36" s="249"/>
      <c r="F36" s="249"/>
      <c r="G36" s="249"/>
      <c r="H36" s="249"/>
      <c r="I36" s="249"/>
      <c r="J36" s="79"/>
      <c r="K36" s="79"/>
      <c r="L36" s="364"/>
      <c r="M36" s="80"/>
      <c r="N36" s="250"/>
    </row>
    <row r="37" spans="1:14" ht="10.5">
      <c r="A37" s="252">
        <v>0.25</v>
      </c>
      <c r="B37" s="250" t="s">
        <v>71</v>
      </c>
      <c r="C37" s="250" t="s">
        <v>6</v>
      </c>
      <c r="D37" s="249"/>
      <c r="E37" s="60">
        <f>+B38*'Basic Data Input'!K20*('Containment MCF EF'!E17+'Containment MCF EF'!E18)/2</f>
        <v>5420891.6015624981</v>
      </c>
      <c r="F37" s="249"/>
      <c r="G37" s="249"/>
      <c r="H37" s="249"/>
      <c r="I37" s="249"/>
      <c r="J37" s="79">
        <f>SUM(D37:I37)</f>
        <v>5420891.6015624981</v>
      </c>
      <c r="K37" s="253">
        <f>SUM(J37:J40)</f>
        <v>9402218.3193197418</v>
      </c>
      <c r="L37" s="364">
        <f>+K37/K$47</f>
        <v>4.9718934162638555E-2</v>
      </c>
      <c r="M37" s="254">
        <f>+K37/B38</f>
        <v>16.715054789901764</v>
      </c>
      <c r="N37" s="346">
        <f>+J37/B38</f>
        <v>9.6371406249999971</v>
      </c>
    </row>
    <row r="38" spans="1:14">
      <c r="A38" s="250"/>
      <c r="B38" s="250">
        <f>+'Basic Data Input'!$L$12</f>
        <v>562500</v>
      </c>
      <c r="C38" s="250" t="s">
        <v>7</v>
      </c>
      <c r="D38" s="249"/>
      <c r="E38" s="60">
        <f>+B38*'Basic Data Input'!K20*('Containment MCF EF'!I17+'Containment MCF EF'!I18)/2</f>
        <v>2615141.5714285718</v>
      </c>
      <c r="F38" s="249"/>
      <c r="G38" s="249"/>
      <c r="H38" s="249"/>
      <c r="I38" s="249"/>
      <c r="J38" s="79">
        <f>SUM(D38:I38)</f>
        <v>2615141.5714285718</v>
      </c>
      <c r="K38" s="79"/>
      <c r="L38" s="80"/>
      <c r="M38" s="80"/>
      <c r="N38" s="346">
        <f>+J38/B38</f>
        <v>4.6491405714285721</v>
      </c>
    </row>
    <row r="39" spans="1:14">
      <c r="A39" s="250"/>
      <c r="B39" s="250"/>
      <c r="C39" s="250" t="s">
        <v>8</v>
      </c>
      <c r="D39" s="76">
        <f>+'Basic Data Input'!$T$14*'End to end calculation'!B38</f>
        <v>0</v>
      </c>
      <c r="E39" s="249"/>
      <c r="F39" s="249"/>
      <c r="G39" s="249"/>
      <c r="H39" s="249"/>
      <c r="I39" s="249"/>
      <c r="J39" s="79">
        <f>SUM(D39:I39)</f>
        <v>0</v>
      </c>
      <c r="K39" s="79"/>
      <c r="L39" s="80"/>
      <c r="M39" s="80"/>
      <c r="N39" s="346">
        <f>+J39/B38</f>
        <v>0</v>
      </c>
    </row>
    <row r="40" spans="1:14">
      <c r="A40" s="250"/>
      <c r="B40" s="250"/>
      <c r="C40" s="250" t="s">
        <v>57</v>
      </c>
      <c r="D40" s="76">
        <f>+'Basic Data Input'!$U$14*'End to end calculation'!B38</f>
        <v>1366185.1463286711</v>
      </c>
      <c r="E40" s="249"/>
      <c r="F40" s="249"/>
      <c r="G40" s="249"/>
      <c r="H40" s="249"/>
      <c r="I40" s="249"/>
      <c r="J40" s="79">
        <f>SUM(D40:I40)</f>
        <v>1366185.1463286711</v>
      </c>
      <c r="K40" s="79"/>
      <c r="L40" s="80"/>
      <c r="M40" s="80"/>
      <c r="N40" s="346">
        <f>+J40/B38</f>
        <v>2.4287735934731933</v>
      </c>
    </row>
    <row r="41" spans="1:14">
      <c r="A41" s="250"/>
      <c r="B41" s="250"/>
      <c r="C41" s="250"/>
      <c r="D41" s="249" t="str">
        <f t="shared" ref="D41:I41" si="0">+D1</f>
        <v>Contained</v>
      </c>
      <c r="E41" s="249" t="str">
        <f t="shared" si="0"/>
        <v>Not contained</v>
      </c>
      <c r="F41" s="249" t="str">
        <f t="shared" si="0"/>
        <v>Delivered to Treatment</v>
      </c>
      <c r="G41" s="249" t="str">
        <f t="shared" si="0"/>
        <v>Not delivered to Treatment (DISCHARGED)</v>
      </c>
      <c r="H41" s="249" t="str">
        <f t="shared" si="0"/>
        <v>Treated</v>
      </c>
      <c r="I41" s="249" t="str">
        <f t="shared" si="0"/>
        <v>Not treated (DISCHARGED)</v>
      </c>
      <c r="J41" s="79"/>
      <c r="K41" s="79"/>
      <c r="L41" s="80"/>
      <c r="M41" s="80"/>
      <c r="N41" s="250"/>
    </row>
    <row r="42" spans="1:14">
      <c r="A42" s="250"/>
      <c r="B42" s="250" t="s">
        <v>72</v>
      </c>
      <c r="C42" s="250" t="s">
        <v>6</v>
      </c>
      <c r="D42" s="79">
        <f t="shared" ref="D42:J42" si="1">+D2+D7+D12+D17+D22+D27+D32+D37</f>
        <v>69910908.012735054</v>
      </c>
      <c r="E42" s="79">
        <f t="shared" si="1"/>
        <v>5420891.6015624981</v>
      </c>
      <c r="F42" s="79">
        <f t="shared" si="1"/>
        <v>0</v>
      </c>
      <c r="G42" s="79">
        <f t="shared" si="1"/>
        <v>9540769.2187499981</v>
      </c>
      <c r="H42" s="79">
        <f t="shared" si="1"/>
        <v>50667930.699750006</v>
      </c>
      <c r="I42" s="79">
        <f t="shared" si="1"/>
        <v>8673426.5624999981</v>
      </c>
      <c r="J42" s="79">
        <f t="shared" si="1"/>
        <v>144213926.09529755</v>
      </c>
      <c r="K42" s="79"/>
      <c r="L42" s="80"/>
      <c r="M42" s="80"/>
      <c r="N42" s="250"/>
    </row>
    <row r="43" spans="1:14">
      <c r="A43" s="250"/>
      <c r="B43" s="250"/>
      <c r="C43" s="250" t="s">
        <v>7</v>
      </c>
      <c r="D43" s="79">
        <f t="shared" ref="D43:J45" si="2">+D3+D8+D13+D18+D23+D28+D33+D38</f>
        <v>18038705.45374329</v>
      </c>
      <c r="E43" s="79">
        <f t="shared" si="2"/>
        <v>2615141.5714285718</v>
      </c>
      <c r="F43" s="79">
        <f t="shared" si="2"/>
        <v>0</v>
      </c>
      <c r="G43" s="79">
        <f t="shared" si="2"/>
        <v>4602649.1657142863</v>
      </c>
      <c r="H43" s="79">
        <f t="shared" si="2"/>
        <v>5611895.0428799987</v>
      </c>
      <c r="I43" s="79">
        <f t="shared" si="2"/>
        <v>4184226.5142857148</v>
      </c>
      <c r="J43" s="79">
        <f>+J3+J8+J13+J18+J23+J28+J33+J38</f>
        <v>35052617.748051867</v>
      </c>
      <c r="K43" s="79"/>
      <c r="L43" s="80"/>
      <c r="M43" s="80"/>
      <c r="N43" s="250"/>
    </row>
    <row r="44" spans="1:14">
      <c r="A44" s="250"/>
      <c r="B44" s="250">
        <f>SUM(B38+B33+B28+B23+B18+B13+B8+B3)</f>
        <v>2250000</v>
      </c>
      <c r="C44" s="250" t="s">
        <v>8</v>
      </c>
      <c r="D44" s="79">
        <f t="shared" si="2"/>
        <v>0</v>
      </c>
      <c r="E44" s="79">
        <f t="shared" si="2"/>
        <v>0</v>
      </c>
      <c r="F44" s="79">
        <f t="shared" si="2"/>
        <v>596748.16</v>
      </c>
      <c r="G44" s="79">
        <f t="shared" si="2"/>
        <v>0</v>
      </c>
      <c r="H44" s="79">
        <f t="shared" si="2"/>
        <v>2909270</v>
      </c>
      <c r="I44" s="79">
        <f>+I4+I9+I14+I19+I24+I29+I34+I39</f>
        <v>0</v>
      </c>
      <c r="J44" s="79">
        <f t="shared" si="2"/>
        <v>3506018.1599999997</v>
      </c>
      <c r="K44" s="79"/>
      <c r="L44" s="80"/>
      <c r="M44" s="80"/>
      <c r="N44" s="250"/>
    </row>
    <row r="45" spans="1:14">
      <c r="A45" s="250"/>
      <c r="B45" s="250"/>
      <c r="C45" s="250" t="s">
        <v>57</v>
      </c>
      <c r="D45" s="79">
        <f t="shared" si="2"/>
        <v>4262497.6565454546</v>
      </c>
      <c r="E45" s="79">
        <f t="shared" si="2"/>
        <v>0</v>
      </c>
      <c r="F45" s="79">
        <f t="shared" si="2"/>
        <v>2010859.3153846154</v>
      </c>
      <c r="G45" s="79">
        <f t="shared" si="2"/>
        <v>0</v>
      </c>
      <c r="H45" s="79">
        <f t="shared" si="2"/>
        <v>61480</v>
      </c>
      <c r="I45" s="79">
        <f t="shared" si="2"/>
        <v>0</v>
      </c>
      <c r="J45" s="79">
        <f>+J5+J10+J15+J20+J25+J30+J35+J40</f>
        <v>6334836.9719300689</v>
      </c>
      <c r="K45" s="79"/>
      <c r="L45" s="80"/>
      <c r="M45" s="80"/>
      <c r="N45" s="250"/>
    </row>
    <row r="46" spans="1:14">
      <c r="A46" s="250"/>
      <c r="B46" s="250"/>
      <c r="C46" s="250"/>
      <c r="D46" s="79" t="s">
        <v>40</v>
      </c>
      <c r="E46" s="79" t="s">
        <v>73</v>
      </c>
      <c r="F46" s="79" t="s">
        <v>74</v>
      </c>
      <c r="G46" s="79" t="s">
        <v>75</v>
      </c>
      <c r="H46" s="79" t="s">
        <v>44</v>
      </c>
      <c r="I46" s="79" t="s">
        <v>76</v>
      </c>
      <c r="J46" s="79"/>
      <c r="K46" s="79"/>
      <c r="L46" s="80"/>
      <c r="M46" s="80"/>
      <c r="N46" s="250"/>
    </row>
    <row r="47" spans="1:14">
      <c r="A47" s="250"/>
      <c r="B47" s="250"/>
      <c r="C47" s="250" t="s">
        <v>77</v>
      </c>
      <c r="D47" s="79">
        <f t="shared" ref="D47:I47" si="3">SUM(D42:D45)</f>
        <v>92212111.123023808</v>
      </c>
      <c r="E47" s="79">
        <f t="shared" si="3"/>
        <v>8036033.17299107</v>
      </c>
      <c r="F47" s="79">
        <f t="shared" si="3"/>
        <v>2607607.4753846154</v>
      </c>
      <c r="G47" s="79">
        <f t="shared" si="3"/>
        <v>14143418.384464284</v>
      </c>
      <c r="H47" s="79">
        <f t="shared" si="3"/>
        <v>59250575.742630005</v>
      </c>
      <c r="I47" s="79">
        <f t="shared" si="3"/>
        <v>12857653.076785713</v>
      </c>
      <c r="J47" s="79">
        <f>SUM(J42:J45)</f>
        <v>189107398.97527945</v>
      </c>
      <c r="K47" s="79">
        <f>SUM(K2:K40)</f>
        <v>189107398.97527948</v>
      </c>
      <c r="L47" s="80"/>
      <c r="M47" s="80">
        <f>+K47/B44</f>
        <v>84.047732877901993</v>
      </c>
      <c r="N47" s="250"/>
    </row>
    <row r="48" spans="1:14">
      <c r="A48" s="250"/>
      <c r="B48" s="250"/>
      <c r="C48" s="250"/>
      <c r="D48" s="80"/>
      <c r="E48" s="80"/>
      <c r="F48" s="80"/>
      <c r="G48" s="80"/>
      <c r="H48" s="80"/>
      <c r="I48" s="80"/>
      <c r="J48" s="80"/>
      <c r="K48" s="80"/>
      <c r="L48" s="80"/>
      <c r="M48" s="80"/>
      <c r="N48" s="250"/>
    </row>
    <row r="49" spans="1:14">
      <c r="A49" s="250"/>
      <c r="B49" s="250"/>
      <c r="C49" s="250" t="s">
        <v>78</v>
      </c>
      <c r="D49" s="364">
        <f t="shared" ref="D49:I49" si="4">+D47/$J47</f>
        <v>0.48761767980891102</v>
      </c>
      <c r="E49" s="364">
        <f t="shared" si="4"/>
        <v>4.2494546572667727E-2</v>
      </c>
      <c r="F49" s="364">
        <f t="shared" si="4"/>
        <v>1.3789029353237985E-2</v>
      </c>
      <c r="G49" s="364">
        <f t="shared" si="4"/>
        <v>7.4790401967895201E-2</v>
      </c>
      <c r="H49" s="364">
        <f t="shared" si="4"/>
        <v>0.31331706778101992</v>
      </c>
      <c r="I49" s="364">
        <f t="shared" si="4"/>
        <v>6.7991274516268366E-2</v>
      </c>
      <c r="J49" s="80"/>
      <c r="K49" s="80"/>
      <c r="L49" s="80"/>
      <c r="M49" s="80"/>
      <c r="N49" s="250"/>
    </row>
    <row r="50" spans="1:14">
      <c r="A50" s="250"/>
      <c r="B50" s="250"/>
      <c r="C50" s="250"/>
      <c r="D50" s="80"/>
      <c r="E50" s="80"/>
      <c r="F50" s="80"/>
      <c r="G50" s="80"/>
      <c r="H50" s="80"/>
      <c r="I50" s="80"/>
      <c r="J50" s="80"/>
      <c r="K50" s="80"/>
      <c r="L50" s="80"/>
      <c r="M50" s="80"/>
      <c r="N50" s="250"/>
    </row>
    <row r="51" spans="1:14">
      <c r="A51" s="250"/>
      <c r="B51" s="250"/>
      <c r="C51" s="250"/>
      <c r="D51" s="250"/>
      <c r="E51" s="250"/>
      <c r="F51" s="250"/>
      <c r="G51" s="250"/>
      <c r="H51" s="250"/>
      <c r="I51" s="250"/>
      <c r="J51" s="250"/>
      <c r="K51" s="250"/>
      <c r="L51" s="250"/>
      <c r="M51" s="250"/>
      <c r="N51" s="250"/>
    </row>
    <row r="55" spans="1:14">
      <c r="C55" s="356"/>
      <c r="D55" s="356" t="s">
        <v>79</v>
      </c>
      <c r="E55" s="356" t="s">
        <v>44</v>
      </c>
      <c r="F55" s="356" t="s">
        <v>41</v>
      </c>
      <c r="G55" s="356" t="s">
        <v>80</v>
      </c>
      <c r="H55" s="356" t="s">
        <v>81</v>
      </c>
      <c r="I55" s="356"/>
    </row>
    <row r="56" spans="1:14">
      <c r="C56" s="356" t="s">
        <v>82</v>
      </c>
      <c r="D56" s="356"/>
      <c r="E56" s="357">
        <f>+K2</f>
        <v>33287767.667794101</v>
      </c>
      <c r="F56" s="356"/>
      <c r="G56" s="357">
        <f>+K12</f>
        <v>12411385.954491757</v>
      </c>
      <c r="H56" s="357">
        <f>+K7</f>
        <v>6895214.4191620881</v>
      </c>
      <c r="I56" s="356"/>
    </row>
    <row r="57" spans="1:14">
      <c r="C57" s="356" t="s">
        <v>83</v>
      </c>
      <c r="D57" s="357">
        <f>+K17</f>
        <v>41137777.800767608</v>
      </c>
      <c r="E57" s="357">
        <f>+K22</f>
        <v>64840072.734770305</v>
      </c>
      <c r="F57" s="357">
        <f>+K37</f>
        <v>9402218.3193197418</v>
      </c>
      <c r="G57" s="357">
        <f>+K32</f>
        <v>6037989.1654211096</v>
      </c>
      <c r="H57" s="357">
        <f>+K27</f>
        <v>15094972.913552774</v>
      </c>
      <c r="I57" s="356"/>
    </row>
    <row r="58" spans="1:14">
      <c r="C58" s="356"/>
      <c r="D58" s="356"/>
      <c r="E58" s="356"/>
      <c r="F58" s="356"/>
      <c r="G58" s="356"/>
      <c r="H58" s="356"/>
      <c r="I58" s="356"/>
    </row>
    <row r="59" spans="1:14">
      <c r="C59" s="356"/>
      <c r="D59" s="356"/>
      <c r="E59" s="356"/>
      <c r="F59" s="356"/>
      <c r="G59" s="356"/>
      <c r="H59" s="356"/>
      <c r="I59" s="356">
        <f>SUM(D56:G57)</f>
        <v>167117211.64256462</v>
      </c>
    </row>
    <row r="60" spans="1:14">
      <c r="C60" s="356"/>
      <c r="D60" s="356" t="s">
        <v>11</v>
      </c>
      <c r="E60" s="356" t="s">
        <v>84</v>
      </c>
      <c r="F60" s="356" t="s">
        <v>85</v>
      </c>
      <c r="G60" s="356"/>
      <c r="H60" s="356"/>
      <c r="I60" s="356"/>
    </row>
    <row r="61" spans="1:14">
      <c r="C61" s="356" t="s">
        <v>86</v>
      </c>
      <c r="D61" s="357">
        <f>+D47/1000</f>
        <v>92212.111123023802</v>
      </c>
      <c r="E61" s="357">
        <f>+F47/1000</f>
        <v>2607.6074753846156</v>
      </c>
      <c r="F61" s="357">
        <f>+H47/1000</f>
        <v>59250.575742630004</v>
      </c>
      <c r="G61" s="356"/>
      <c r="H61" s="356"/>
      <c r="I61" s="356"/>
    </row>
    <row r="62" spans="1:14">
      <c r="C62" s="356" t="s">
        <v>87</v>
      </c>
      <c r="D62" s="357">
        <f>+E47/1000</f>
        <v>8036.0331729910704</v>
      </c>
      <c r="E62" s="357">
        <f>+G47/1000</f>
        <v>14143.418384464285</v>
      </c>
      <c r="F62" s="357">
        <f>+I47/1000</f>
        <v>12857.653076785713</v>
      </c>
      <c r="G62" s="356"/>
      <c r="H62" s="356"/>
      <c r="I62" s="356"/>
    </row>
    <row r="65" spans="3:19">
      <c r="C65" s="250"/>
      <c r="D65" s="249" t="str">
        <f t="shared" ref="D65:I65" si="5">+D41</f>
        <v>Contained</v>
      </c>
      <c r="E65" s="249" t="str">
        <f t="shared" si="5"/>
        <v>Not contained</v>
      </c>
      <c r="F65" s="249" t="str">
        <f t="shared" si="5"/>
        <v>Delivered to Treatment</v>
      </c>
      <c r="G65" s="249" t="str">
        <f t="shared" si="5"/>
        <v>Not delivered to Treatment (DISCHARGED)</v>
      </c>
      <c r="H65" s="249" t="str">
        <f t="shared" si="5"/>
        <v>Treated</v>
      </c>
      <c r="I65" s="249" t="str">
        <f t="shared" si="5"/>
        <v>Not treated (DISCHARGED)</v>
      </c>
    </row>
    <row r="66" spans="3:19">
      <c r="C66" s="250" t="s">
        <v>6</v>
      </c>
      <c r="D66" s="79">
        <f>+D42/1000</f>
        <v>69910.908012735061</v>
      </c>
      <c r="E66" s="79">
        <f t="shared" ref="E66:I66" si="6">+E42/1000</f>
        <v>5420.8916015624982</v>
      </c>
      <c r="F66" s="79">
        <f t="shared" si="6"/>
        <v>0</v>
      </c>
      <c r="G66" s="79">
        <f t="shared" si="6"/>
        <v>9540.7692187499979</v>
      </c>
      <c r="H66" s="79">
        <f t="shared" si="6"/>
        <v>50667.93069975001</v>
      </c>
      <c r="I66" s="79">
        <f t="shared" si="6"/>
        <v>8673.4265624999989</v>
      </c>
      <c r="O66" s="352"/>
      <c r="P66" s="351"/>
    </row>
    <row r="67" spans="3:19">
      <c r="C67" s="250" t="s">
        <v>7</v>
      </c>
      <c r="D67" s="79">
        <f t="shared" ref="D67:I67" si="7">+D43/1000</f>
        <v>18038.705453743289</v>
      </c>
      <c r="E67" s="79">
        <f t="shared" si="7"/>
        <v>2615.1415714285718</v>
      </c>
      <c r="F67" s="79">
        <f t="shared" si="7"/>
        <v>0</v>
      </c>
      <c r="G67" s="79">
        <f t="shared" si="7"/>
        <v>4602.649165714286</v>
      </c>
      <c r="H67" s="79">
        <f t="shared" si="7"/>
        <v>5611.895042879999</v>
      </c>
      <c r="I67" s="79">
        <f t="shared" si="7"/>
        <v>4184.226514285715</v>
      </c>
    </row>
    <row r="68" spans="3:19">
      <c r="C68" s="250" t="s">
        <v>8</v>
      </c>
      <c r="D68" s="79">
        <f t="shared" ref="D68:I68" si="8">+D44/1000</f>
        <v>0</v>
      </c>
      <c r="E68" s="79">
        <f t="shared" si="8"/>
        <v>0</v>
      </c>
      <c r="F68" s="79">
        <f t="shared" si="8"/>
        <v>596.74815999999998</v>
      </c>
      <c r="G68" s="79">
        <f t="shared" si="8"/>
        <v>0</v>
      </c>
      <c r="H68" s="79">
        <f t="shared" si="8"/>
        <v>2909.27</v>
      </c>
      <c r="I68" s="79">
        <f t="shared" si="8"/>
        <v>0</v>
      </c>
    </row>
    <row r="69" spans="3:19">
      <c r="C69" s="250" t="s">
        <v>57</v>
      </c>
      <c r="D69" s="79">
        <f t="shared" ref="D69:I69" si="9">+D45/1000</f>
        <v>4262.4976565454544</v>
      </c>
      <c r="E69" s="79">
        <f t="shared" si="9"/>
        <v>0</v>
      </c>
      <c r="F69" s="79">
        <f t="shared" si="9"/>
        <v>2010.8593153846155</v>
      </c>
      <c r="G69" s="79">
        <f t="shared" si="9"/>
        <v>0</v>
      </c>
      <c r="H69" s="79">
        <f t="shared" si="9"/>
        <v>61.48</v>
      </c>
      <c r="I69" s="79">
        <f t="shared" si="9"/>
        <v>0</v>
      </c>
    </row>
    <row r="70" spans="3:19">
      <c r="C70" s="17" t="s">
        <v>88</v>
      </c>
    </row>
    <row r="71" spans="3:19">
      <c r="C71" s="250"/>
      <c r="D71" s="349" t="str">
        <f>+D65</f>
        <v>Contained</v>
      </c>
      <c r="E71" s="349" t="str">
        <f t="shared" ref="E71:I71" si="10">+E65</f>
        <v>Not contained</v>
      </c>
      <c r="F71" s="349" t="str">
        <f t="shared" si="10"/>
        <v>Delivered to Treatment</v>
      </c>
      <c r="G71" s="349" t="str">
        <f t="shared" si="10"/>
        <v>Not delivered to Treatment (DISCHARGED)</v>
      </c>
      <c r="H71" s="349" t="str">
        <f t="shared" si="10"/>
        <v>Treated</v>
      </c>
      <c r="I71" s="349" t="str">
        <f t="shared" si="10"/>
        <v>Not treated (DISCHARGED)</v>
      </c>
      <c r="J71" s="160"/>
      <c r="K71" s="160"/>
      <c r="L71" s="160"/>
    </row>
    <row r="72" spans="3:19">
      <c r="C72" s="250" t="s">
        <v>6</v>
      </c>
      <c r="D72" s="349">
        <f>+D17+D22+D27+D32+D37</f>
        <v>69910908.012735054</v>
      </c>
      <c r="E72" s="349">
        <f t="shared" ref="E72:I72" si="11">+E17+E22+E27+E32+E37</f>
        <v>5420891.6015624981</v>
      </c>
      <c r="F72" s="349">
        <f t="shared" si="11"/>
        <v>0</v>
      </c>
      <c r="G72" s="349">
        <f t="shared" si="11"/>
        <v>1734685.3124999995</v>
      </c>
      <c r="H72" s="349">
        <f t="shared" si="11"/>
        <v>25419050.811000004</v>
      </c>
      <c r="I72" s="349">
        <f t="shared" si="11"/>
        <v>4336713.2812499991</v>
      </c>
      <c r="J72" s="160"/>
      <c r="K72" s="160"/>
      <c r="L72" s="160"/>
      <c r="N72" s="41"/>
      <c r="O72" s="41"/>
      <c r="P72" s="41"/>
      <c r="Q72" s="41"/>
      <c r="R72" s="41"/>
      <c r="S72" s="41"/>
    </row>
    <row r="73" spans="3:19">
      <c r="C73" s="250" t="s">
        <v>7</v>
      </c>
      <c r="D73" s="349">
        <f t="shared" ref="D73:I75" si="12">+D18+D23+D28+D33+D38</f>
        <v>18038705.45374329</v>
      </c>
      <c r="E73" s="349">
        <f t="shared" si="12"/>
        <v>2615141.5714285718</v>
      </c>
      <c r="F73" s="349">
        <f t="shared" si="12"/>
        <v>0</v>
      </c>
      <c r="G73" s="349">
        <f t="shared" si="12"/>
        <v>836845.30285714299</v>
      </c>
      <c r="H73" s="349">
        <f t="shared" si="12"/>
        <v>1231311.2064</v>
      </c>
      <c r="I73" s="349">
        <f t="shared" si="12"/>
        <v>2092113.2571428574</v>
      </c>
      <c r="J73" s="160"/>
      <c r="K73" s="160"/>
      <c r="L73" s="160"/>
      <c r="N73" s="41"/>
      <c r="O73" s="41"/>
      <c r="P73" s="41"/>
      <c r="Q73" s="41"/>
      <c r="R73" s="41"/>
      <c r="S73" s="41"/>
    </row>
    <row r="74" spans="3:19">
      <c r="C74" s="250" t="s">
        <v>8</v>
      </c>
      <c r="D74" s="349">
        <f t="shared" si="12"/>
        <v>0</v>
      </c>
      <c r="E74" s="349">
        <f t="shared" si="12"/>
        <v>0</v>
      </c>
      <c r="F74" s="349">
        <f t="shared" si="12"/>
        <v>555500.80000000005</v>
      </c>
      <c r="G74" s="349">
        <f t="shared" si="12"/>
        <v>0</v>
      </c>
      <c r="H74" s="349">
        <f t="shared" si="12"/>
        <v>0</v>
      </c>
      <c r="I74" s="349">
        <f t="shared" si="12"/>
        <v>0</v>
      </c>
      <c r="J74" s="160"/>
      <c r="K74" s="160"/>
      <c r="L74" s="160"/>
      <c r="N74" s="41"/>
      <c r="O74" s="41"/>
      <c r="P74" s="41"/>
      <c r="Q74" s="41"/>
      <c r="R74" s="41"/>
      <c r="S74" s="41"/>
    </row>
    <row r="75" spans="3:19">
      <c r="C75" s="250" t="s">
        <v>57</v>
      </c>
      <c r="D75" s="349">
        <f t="shared" si="12"/>
        <v>4262497.6565454546</v>
      </c>
      <c r="E75" s="349">
        <f t="shared" si="12"/>
        <v>0</v>
      </c>
      <c r="F75" s="349">
        <f t="shared" si="12"/>
        <v>0</v>
      </c>
      <c r="G75" s="349">
        <f t="shared" si="12"/>
        <v>0</v>
      </c>
      <c r="H75" s="349">
        <f>+H20+H25+H30+H35+H40</f>
        <v>58666.666666666664</v>
      </c>
      <c r="I75" s="349">
        <f t="shared" si="12"/>
        <v>0</v>
      </c>
      <c r="J75" s="160"/>
      <c r="K75" s="160"/>
      <c r="L75" s="160"/>
      <c r="N75" s="41"/>
      <c r="O75" s="41"/>
      <c r="P75" s="41"/>
      <c r="Q75" s="41"/>
      <c r="R75" s="41"/>
      <c r="S75" s="41"/>
    </row>
    <row r="76" spans="3:19" ht="13.5" customHeight="1">
      <c r="C76" s="250"/>
      <c r="D76" s="194">
        <f t="shared" ref="D76:I76" si="13">SUM(D72:D75)</f>
        <v>92212111.123023808</v>
      </c>
      <c r="E76" s="194">
        <f t="shared" si="13"/>
        <v>8036033.17299107</v>
      </c>
      <c r="F76" s="194">
        <f t="shared" si="13"/>
        <v>555500.80000000005</v>
      </c>
      <c r="G76" s="194">
        <f t="shared" si="13"/>
        <v>2571530.6153571424</v>
      </c>
      <c r="H76" s="194">
        <f t="shared" si="13"/>
        <v>26709028.684066672</v>
      </c>
      <c r="I76" s="194">
        <f t="shared" si="13"/>
        <v>6428826.5383928567</v>
      </c>
      <c r="J76" s="160"/>
      <c r="K76" s="349">
        <f>SUM(D72:I75)</f>
        <v>136513030.93383154</v>
      </c>
      <c r="L76" s="350"/>
    </row>
    <row r="77" spans="3:19">
      <c r="C77" s="250"/>
      <c r="D77" s="353">
        <f t="shared" ref="D77:I77" si="14">SUM(D72:D75)/$K$85</f>
        <v>0.48761767980891096</v>
      </c>
      <c r="E77" s="353">
        <f t="shared" si="14"/>
        <v>4.249454657266772E-2</v>
      </c>
      <c r="F77" s="353">
        <f t="shared" si="14"/>
        <v>2.9374884484166391E-3</v>
      </c>
      <c r="G77" s="353">
        <f t="shared" si="14"/>
        <v>1.359825490325367E-2</v>
      </c>
      <c r="H77" s="353">
        <f t="shared" si="14"/>
        <v>0.14123735416380051</v>
      </c>
      <c r="I77" s="353">
        <f t="shared" si="14"/>
        <v>3.3995637258134183E-2</v>
      </c>
      <c r="J77" s="160"/>
      <c r="K77" s="350">
        <f>SUM(D77:I77)</f>
        <v>0.72188096115518385</v>
      </c>
      <c r="L77" s="350"/>
    </row>
    <row r="78" spans="3:19" ht="13.5" customHeight="1">
      <c r="C78" s="17" t="s">
        <v>89</v>
      </c>
      <c r="D78" s="349"/>
      <c r="E78" s="349"/>
      <c r="F78" s="349"/>
      <c r="G78" s="349"/>
      <c r="H78" s="349"/>
      <c r="I78" s="349"/>
      <c r="J78" s="160"/>
      <c r="K78" s="160"/>
      <c r="L78" s="350"/>
      <c r="N78" s="41"/>
      <c r="P78" s="41"/>
      <c r="R78" s="41"/>
    </row>
    <row r="79" spans="3:19">
      <c r="C79" s="250" t="s">
        <v>6</v>
      </c>
      <c r="D79" s="349">
        <f t="shared" ref="D79:I82" si="15">+D2+D7+D12</f>
        <v>0</v>
      </c>
      <c r="E79" s="349">
        <f t="shared" si="15"/>
        <v>0</v>
      </c>
      <c r="F79" s="349">
        <f t="shared" si="15"/>
        <v>0</v>
      </c>
      <c r="G79" s="349">
        <f t="shared" si="15"/>
        <v>7806083.9062499981</v>
      </c>
      <c r="H79" s="349">
        <f t="shared" si="15"/>
        <v>25248879.888750002</v>
      </c>
      <c r="I79" s="349">
        <f t="shared" si="15"/>
        <v>4336713.2812499991</v>
      </c>
      <c r="J79" s="160"/>
      <c r="K79" s="160"/>
      <c r="L79" s="350"/>
      <c r="N79" s="158"/>
      <c r="P79" s="41"/>
      <c r="Q79" s="41"/>
      <c r="R79" s="41"/>
      <c r="S79" s="41"/>
    </row>
    <row r="80" spans="3:19">
      <c r="C80" s="250" t="s">
        <v>7</v>
      </c>
      <c r="D80" s="349">
        <f t="shared" si="15"/>
        <v>0</v>
      </c>
      <c r="E80" s="349">
        <f t="shared" si="15"/>
        <v>0</v>
      </c>
      <c r="F80" s="349">
        <f t="shared" si="15"/>
        <v>0</v>
      </c>
      <c r="G80" s="349">
        <f t="shared" si="15"/>
        <v>3765803.8628571434</v>
      </c>
      <c r="H80" s="349">
        <f t="shared" si="15"/>
        <v>4380583.8364799991</v>
      </c>
      <c r="I80" s="349">
        <f t="shared" si="15"/>
        <v>2092113.2571428574</v>
      </c>
      <c r="J80" s="160"/>
      <c r="K80" s="160"/>
      <c r="L80" s="350"/>
      <c r="N80" s="158"/>
      <c r="P80" s="41"/>
      <c r="Q80" s="41"/>
      <c r="R80" s="41"/>
      <c r="S80" s="41"/>
    </row>
    <row r="81" spans="3:19">
      <c r="C81" s="250" t="s">
        <v>8</v>
      </c>
      <c r="D81" s="349">
        <f t="shared" si="15"/>
        <v>0</v>
      </c>
      <c r="E81" s="349">
        <f t="shared" si="15"/>
        <v>0</v>
      </c>
      <c r="F81" s="349">
        <f t="shared" si="15"/>
        <v>41247.360000000001</v>
      </c>
      <c r="G81" s="349">
        <f t="shared" si="15"/>
        <v>0</v>
      </c>
      <c r="H81" s="349">
        <f t="shared" si="15"/>
        <v>2909270</v>
      </c>
      <c r="I81" s="349">
        <f t="shared" si="15"/>
        <v>0</v>
      </c>
      <c r="J81" s="160"/>
      <c r="K81" s="160"/>
      <c r="L81" s="350"/>
      <c r="N81" s="158"/>
      <c r="P81" s="41"/>
      <c r="Q81" s="41"/>
      <c r="R81" s="41"/>
      <c r="S81" s="41"/>
    </row>
    <row r="82" spans="3:19">
      <c r="C82" s="250" t="s">
        <v>57</v>
      </c>
      <c r="D82" s="349">
        <f t="shared" si="15"/>
        <v>0</v>
      </c>
      <c r="E82" s="349">
        <f t="shared" si="15"/>
        <v>0</v>
      </c>
      <c r="F82" s="349">
        <f t="shared" si="15"/>
        <v>2010859.3153846154</v>
      </c>
      <c r="G82" s="349">
        <f t="shared" si="15"/>
        <v>0</v>
      </c>
      <c r="H82" s="349">
        <f t="shared" si="15"/>
        <v>2813.3333333333339</v>
      </c>
      <c r="I82" s="349">
        <f t="shared" si="15"/>
        <v>0</v>
      </c>
      <c r="J82" s="160"/>
      <c r="K82" s="349"/>
      <c r="L82" s="350"/>
      <c r="N82" s="158"/>
      <c r="P82" s="41"/>
      <c r="Q82" s="41"/>
      <c r="R82" s="41"/>
      <c r="S82" s="41"/>
    </row>
    <row r="83" spans="3:19" ht="12.95" customHeight="1">
      <c r="C83" s="250"/>
      <c r="D83" s="194">
        <f>SUM(D79:D82)</f>
        <v>0</v>
      </c>
      <c r="E83" s="194">
        <f t="shared" ref="E83:I83" si="16">SUM(E79:E82)</f>
        <v>0</v>
      </c>
      <c r="F83" s="194">
        <f t="shared" si="16"/>
        <v>2052106.6753846155</v>
      </c>
      <c r="G83" s="194">
        <f t="shared" si="16"/>
        <v>11571887.769107141</v>
      </c>
      <c r="H83" s="194">
        <f t="shared" si="16"/>
        <v>32541547.058563333</v>
      </c>
      <c r="I83" s="194">
        <f t="shared" si="16"/>
        <v>6428826.5383928567</v>
      </c>
      <c r="J83" s="160"/>
      <c r="K83" s="158">
        <f>SUM(D83:I83)</f>
        <v>52594368.041447945</v>
      </c>
      <c r="L83" s="350">
        <f>+K82/K85</f>
        <v>0</v>
      </c>
      <c r="N83" s="41"/>
      <c r="P83" s="41"/>
      <c r="R83" s="354"/>
    </row>
    <row r="84" spans="3:19">
      <c r="C84" s="250"/>
      <c r="D84" s="353">
        <f t="shared" ref="D84:E84" si="17">SUM(D79:D82)/$K$85</f>
        <v>0</v>
      </c>
      <c r="E84" s="353">
        <f t="shared" si="17"/>
        <v>0</v>
      </c>
      <c r="F84" s="353">
        <f>SUM(F79:F82)/$K$85</f>
        <v>1.0851540904821346E-2</v>
      </c>
      <c r="G84" s="353">
        <f t="shared" ref="G84:I84" si="18">SUM(G79:G82)/$K$85</f>
        <v>6.1192147064641517E-2</v>
      </c>
      <c r="H84" s="353">
        <f t="shared" si="18"/>
        <v>0.17207971361721935</v>
      </c>
      <c r="I84" s="353">
        <f t="shared" si="18"/>
        <v>3.3995637258134183E-2</v>
      </c>
      <c r="J84" s="160"/>
      <c r="K84" s="350">
        <f>SUM(D84:I84)</f>
        <v>0.27811903884481642</v>
      </c>
      <c r="L84" s="350"/>
      <c r="N84" s="41"/>
      <c r="P84" s="41"/>
      <c r="R84" s="354"/>
    </row>
    <row r="85" spans="3:19" ht="13.5" customHeight="1">
      <c r="D85" s="158"/>
      <c r="E85" s="158"/>
      <c r="F85" s="158"/>
      <c r="G85" s="158"/>
      <c r="H85" s="158"/>
      <c r="I85" s="158"/>
      <c r="K85" s="158">
        <f>+K76+K83</f>
        <v>189107398.97527948</v>
      </c>
      <c r="L85" s="351"/>
    </row>
    <row r="86" spans="3:19">
      <c r="N86" s="41"/>
      <c r="P86" s="41"/>
      <c r="R86" s="41"/>
    </row>
    <row r="87" spans="3:19">
      <c r="C87" s="17" t="s">
        <v>88</v>
      </c>
    </row>
    <row r="88" spans="3:19">
      <c r="C88" s="250"/>
      <c r="D88" s="349" t="s">
        <v>11</v>
      </c>
      <c r="E88" s="349"/>
      <c r="F88" s="349" t="s">
        <v>90</v>
      </c>
      <c r="G88" s="349"/>
      <c r="H88" s="349" t="s">
        <v>85</v>
      </c>
      <c r="I88" s="349"/>
      <c r="J88" s="349"/>
      <c r="K88" s="349"/>
    </row>
    <row r="89" spans="3:19">
      <c r="C89" s="250" t="s">
        <v>91</v>
      </c>
      <c r="D89" s="349">
        <f t="shared" ref="D89:I89" si="19">+D72+D73</f>
        <v>87949613.466478348</v>
      </c>
      <c r="E89" s="349">
        <f t="shared" si="19"/>
        <v>8036033.17299107</v>
      </c>
      <c r="F89" s="349">
        <f t="shared" si="19"/>
        <v>0</v>
      </c>
      <c r="G89" s="349">
        <f t="shared" si="19"/>
        <v>2571530.6153571424</v>
      </c>
      <c r="H89" s="349">
        <f t="shared" si="19"/>
        <v>26650362.017400004</v>
      </c>
      <c r="I89" s="349">
        <f t="shared" si="19"/>
        <v>6428826.5383928567</v>
      </c>
      <c r="J89" s="349"/>
      <c r="K89" s="359"/>
    </row>
    <row r="90" spans="3:19" ht="12.95" customHeight="1">
      <c r="C90" s="250" t="s">
        <v>8</v>
      </c>
      <c r="D90" s="349">
        <f t="shared" ref="D90:I91" si="20">+D74</f>
        <v>0</v>
      </c>
      <c r="E90" s="349">
        <f t="shared" si="20"/>
        <v>0</v>
      </c>
      <c r="F90" s="349">
        <f t="shared" si="20"/>
        <v>555500.80000000005</v>
      </c>
      <c r="G90" s="349">
        <f t="shared" si="20"/>
        <v>0</v>
      </c>
      <c r="H90" s="349">
        <f t="shared" si="20"/>
        <v>0</v>
      </c>
      <c r="I90" s="349">
        <f t="shared" si="20"/>
        <v>0</v>
      </c>
      <c r="J90" s="349"/>
      <c r="K90" s="359"/>
    </row>
    <row r="91" spans="3:19">
      <c r="C91" s="250" t="s">
        <v>57</v>
      </c>
      <c r="D91" s="349">
        <f t="shared" si="20"/>
        <v>4262497.6565454546</v>
      </c>
      <c r="E91" s="349">
        <f t="shared" si="20"/>
        <v>0</v>
      </c>
      <c r="F91" s="349">
        <f t="shared" si="20"/>
        <v>0</v>
      </c>
      <c r="G91" s="349">
        <f t="shared" si="20"/>
        <v>0</v>
      </c>
      <c r="H91" s="349">
        <f t="shared" si="20"/>
        <v>58666.666666666664</v>
      </c>
      <c r="I91" s="349">
        <f t="shared" si="20"/>
        <v>0</v>
      </c>
      <c r="J91" s="349"/>
      <c r="K91" s="359"/>
    </row>
    <row r="92" spans="3:19">
      <c r="C92" s="250"/>
      <c r="D92" s="349"/>
      <c r="E92" s="360"/>
      <c r="F92" s="349"/>
      <c r="G92" s="360"/>
      <c r="H92" s="349"/>
      <c r="I92" s="360"/>
      <c r="J92" s="349"/>
      <c r="K92" s="360"/>
    </row>
    <row r="93" spans="3:19">
      <c r="C93" s="250"/>
      <c r="D93" s="349"/>
      <c r="E93" s="359"/>
      <c r="F93" s="349"/>
      <c r="G93" s="359"/>
      <c r="H93" s="353"/>
      <c r="I93" s="359"/>
      <c r="J93" s="353"/>
      <c r="K93" s="359"/>
    </row>
    <row r="94" spans="3:19">
      <c r="C94" s="17" t="s">
        <v>89</v>
      </c>
      <c r="D94" s="349"/>
      <c r="E94" s="360"/>
      <c r="F94" s="349"/>
      <c r="G94" s="360"/>
      <c r="H94" s="349"/>
      <c r="I94" s="360"/>
      <c r="J94" s="349"/>
      <c r="K94" s="360"/>
    </row>
    <row r="95" spans="3:19">
      <c r="C95" s="250" t="s">
        <v>6</v>
      </c>
      <c r="D95" s="349">
        <v>100000</v>
      </c>
      <c r="E95" s="349">
        <f t="shared" ref="E95:I95" si="21">+E79+E80</f>
        <v>0</v>
      </c>
      <c r="F95" s="349">
        <f t="shared" si="21"/>
        <v>0</v>
      </c>
      <c r="G95" s="349">
        <f t="shared" si="21"/>
        <v>11571887.769107141</v>
      </c>
      <c r="H95" s="349">
        <f t="shared" si="21"/>
        <v>29629463.725230001</v>
      </c>
      <c r="I95" s="349">
        <f t="shared" si="21"/>
        <v>6428826.5383928567</v>
      </c>
      <c r="J95" s="349"/>
      <c r="K95" s="359"/>
    </row>
    <row r="96" spans="3:19">
      <c r="C96" s="250" t="s">
        <v>8</v>
      </c>
      <c r="D96" s="349">
        <f>+D81</f>
        <v>0</v>
      </c>
      <c r="E96" s="349">
        <f>+E81</f>
        <v>0</v>
      </c>
      <c r="F96" s="349">
        <f t="shared" ref="F96:G96" si="22">+F81</f>
        <v>41247.360000000001</v>
      </c>
      <c r="G96" s="349">
        <f t="shared" si="22"/>
        <v>0</v>
      </c>
      <c r="H96" s="349">
        <f t="shared" ref="H96:I96" si="23">+H81</f>
        <v>2909270</v>
      </c>
      <c r="I96" s="349">
        <f t="shared" si="23"/>
        <v>0</v>
      </c>
      <c r="J96" s="349"/>
      <c r="K96" s="359"/>
    </row>
    <row r="97" spans="2:12">
      <c r="C97" s="250" t="s">
        <v>57</v>
      </c>
      <c r="D97" s="349">
        <f>+D82</f>
        <v>0</v>
      </c>
      <c r="E97" s="349">
        <f>+E82</f>
        <v>0</v>
      </c>
      <c r="F97" s="349">
        <f t="shared" ref="F97:G97" si="24">+F82</f>
        <v>2010859.3153846154</v>
      </c>
      <c r="G97" s="349">
        <f t="shared" si="24"/>
        <v>0</v>
      </c>
      <c r="H97" s="349">
        <f t="shared" ref="H97:I97" si="25">+H82</f>
        <v>2813.3333333333339</v>
      </c>
      <c r="I97" s="349">
        <f t="shared" si="25"/>
        <v>0</v>
      </c>
      <c r="J97" s="349"/>
      <c r="K97" s="359"/>
    </row>
    <row r="98" spans="2:12">
      <c r="C98" s="250"/>
      <c r="D98" s="349"/>
      <c r="E98" s="349"/>
      <c r="F98" s="349"/>
      <c r="G98" s="349"/>
      <c r="H98" s="349"/>
      <c r="I98" s="349"/>
      <c r="J98" s="349"/>
      <c r="K98" s="360"/>
      <c r="L98" s="158">
        <f>SUM(D89:K98)</f>
        <v>189207398.97527954</v>
      </c>
    </row>
    <row r="100" spans="2:12">
      <c r="B100" s="17" t="s">
        <v>92</v>
      </c>
      <c r="C100" s="17" t="s">
        <v>88</v>
      </c>
    </row>
    <row r="101" spans="2:12">
      <c r="C101" s="250"/>
      <c r="D101" s="349" t="s">
        <v>11</v>
      </c>
      <c r="E101" s="349"/>
      <c r="F101" s="349" t="s">
        <v>90</v>
      </c>
      <c r="G101" s="349"/>
      <c r="H101" s="349" t="s">
        <v>85</v>
      </c>
      <c r="I101" s="349"/>
      <c r="J101" s="349"/>
    </row>
    <row r="102" spans="2:12">
      <c r="C102" s="250" t="s">
        <v>91</v>
      </c>
      <c r="D102" s="349">
        <f t="shared" ref="D102:I102" si="26">2*SQRT(D89/3.14)</f>
        <v>10584.787393288489</v>
      </c>
      <c r="E102" s="349">
        <f t="shared" si="26"/>
        <v>3199.5288612148174</v>
      </c>
      <c r="F102" s="349">
        <f t="shared" si="26"/>
        <v>0</v>
      </c>
      <c r="G102" s="349">
        <f t="shared" si="26"/>
        <v>1809.9268434936555</v>
      </c>
      <c r="H102" s="349">
        <f t="shared" si="26"/>
        <v>5826.6204402423264</v>
      </c>
      <c r="I102" s="349">
        <f t="shared" si="26"/>
        <v>2861.7456118595287</v>
      </c>
      <c r="J102" s="349"/>
    </row>
    <row r="103" spans="2:12">
      <c r="C103" s="250" t="s">
        <v>8</v>
      </c>
      <c r="D103" s="349">
        <f t="shared" ref="D103:I103" si="27">2*SQRT(D90/3.14)</f>
        <v>0</v>
      </c>
      <c r="E103" s="349">
        <f t="shared" si="27"/>
        <v>0</v>
      </c>
      <c r="F103" s="349">
        <f t="shared" si="27"/>
        <v>841.21598368682407</v>
      </c>
      <c r="G103" s="349">
        <f t="shared" si="27"/>
        <v>0</v>
      </c>
      <c r="H103" s="349">
        <f t="shared" si="27"/>
        <v>0</v>
      </c>
      <c r="I103" s="349">
        <f t="shared" si="27"/>
        <v>0</v>
      </c>
      <c r="J103" s="349"/>
    </row>
    <row r="104" spans="2:12">
      <c r="C104" s="250" t="s">
        <v>57</v>
      </c>
      <c r="D104" s="349">
        <f t="shared" ref="D104:I104" si="28">2*SQRT(D91/3.14)</f>
        <v>2330.2217320332566</v>
      </c>
      <c r="E104" s="349">
        <f t="shared" si="28"/>
        <v>0</v>
      </c>
      <c r="F104" s="349">
        <f t="shared" si="28"/>
        <v>0</v>
      </c>
      <c r="G104" s="349">
        <f t="shared" si="28"/>
        <v>0</v>
      </c>
      <c r="H104" s="349">
        <f t="shared" si="28"/>
        <v>273.37631063916939</v>
      </c>
      <c r="I104" s="349">
        <f t="shared" si="28"/>
        <v>0</v>
      </c>
      <c r="J104" s="349"/>
    </row>
    <row r="105" spans="2:12">
      <c r="C105" s="250"/>
      <c r="D105" s="349"/>
      <c r="E105" s="349"/>
      <c r="F105" s="349"/>
      <c r="G105" s="349"/>
      <c r="H105" s="349"/>
      <c r="I105" s="349"/>
      <c r="J105" s="349"/>
    </row>
    <row r="106" spans="2:12">
      <c r="C106" s="250"/>
      <c r="D106" s="349"/>
      <c r="E106" s="349"/>
      <c r="F106" s="349"/>
      <c r="G106" s="349"/>
      <c r="H106" s="349"/>
      <c r="I106" s="349"/>
      <c r="J106" s="349"/>
    </row>
    <row r="107" spans="2:12">
      <c r="C107" s="17" t="s">
        <v>89</v>
      </c>
      <c r="D107" s="349"/>
      <c r="E107" s="349"/>
      <c r="F107" s="349"/>
      <c r="G107" s="349"/>
      <c r="H107" s="349"/>
      <c r="I107" s="349"/>
      <c r="J107" s="349"/>
    </row>
    <row r="108" spans="2:12">
      <c r="C108" s="250" t="s">
        <v>6</v>
      </c>
      <c r="D108" s="349">
        <f t="shared" ref="D108:E108" si="29">2*SQRT(D95/3.14)</f>
        <v>356.91530512412481</v>
      </c>
      <c r="E108" s="349">
        <f t="shared" si="29"/>
        <v>0</v>
      </c>
      <c r="F108" s="349">
        <f t="shared" ref="F108:I108" si="30">2*SQRT(F95/3.14)</f>
        <v>0</v>
      </c>
      <c r="G108" s="349">
        <f t="shared" si="30"/>
        <v>3839.4346334577808</v>
      </c>
      <c r="H108" s="349">
        <f t="shared" si="30"/>
        <v>6143.6585010369072</v>
      </c>
      <c r="I108" s="349">
        <f t="shared" si="30"/>
        <v>2861.7456118595287</v>
      </c>
      <c r="J108" s="349"/>
    </row>
    <row r="109" spans="2:12">
      <c r="C109" s="250" t="s">
        <v>8</v>
      </c>
      <c r="D109" s="349">
        <f t="shared" ref="D109:E109" si="31">2*SQRT(D96/3.14)</f>
        <v>0</v>
      </c>
      <c r="E109" s="349">
        <f t="shared" si="31"/>
        <v>0</v>
      </c>
      <c r="F109" s="349">
        <f t="shared" ref="F109:I109" si="32">2*SQRT(F96/3.14)</f>
        <v>229.22566968669128</v>
      </c>
      <c r="G109" s="349">
        <f t="shared" si="32"/>
        <v>0</v>
      </c>
      <c r="H109" s="349">
        <f t="shared" si="32"/>
        <v>1925.1172517852046</v>
      </c>
      <c r="I109" s="349">
        <f t="shared" si="32"/>
        <v>0</v>
      </c>
      <c r="J109" s="349"/>
    </row>
    <row r="110" spans="2:12">
      <c r="C110" s="250" t="s">
        <v>57</v>
      </c>
      <c r="D110" s="349">
        <f t="shared" ref="D110:E110" si="33">2*SQRT(D97/3.14)</f>
        <v>0</v>
      </c>
      <c r="E110" s="349">
        <f t="shared" si="33"/>
        <v>0</v>
      </c>
      <c r="F110" s="349">
        <f t="shared" ref="F110:I110" si="34">2*SQRT(F97/3.14)</f>
        <v>1600.5012413053269</v>
      </c>
      <c r="G110" s="349">
        <f t="shared" si="34"/>
        <v>0</v>
      </c>
      <c r="H110" s="349">
        <f t="shared" si="34"/>
        <v>59.865383310356968</v>
      </c>
      <c r="I110" s="349">
        <f t="shared" si="34"/>
        <v>0</v>
      </c>
      <c r="J110" s="349"/>
    </row>
    <row r="111" spans="2:12">
      <c r="C111" s="250"/>
      <c r="D111" s="349"/>
      <c r="E111" s="349"/>
      <c r="F111" s="349"/>
      <c r="G111" s="349"/>
      <c r="H111" s="349"/>
      <c r="I111" s="349"/>
      <c r="J111" s="349"/>
    </row>
    <row r="113" spans="3:10">
      <c r="C113" s="250"/>
      <c r="D113" s="349" t="s">
        <v>11</v>
      </c>
      <c r="E113" s="349"/>
      <c r="F113" s="349" t="s">
        <v>90</v>
      </c>
      <c r="G113" s="349"/>
      <c r="H113" s="349" t="s">
        <v>85</v>
      </c>
      <c r="I113" s="349"/>
      <c r="J113" s="349"/>
    </row>
    <row r="114" spans="3:10">
      <c r="C114" s="250" t="s">
        <v>91</v>
      </c>
      <c r="D114" s="336">
        <f>+D102/5000</f>
        <v>2.1169574786576977</v>
      </c>
      <c r="E114" s="336">
        <f t="shared" ref="E114:I114" si="35">+E102/5000</f>
        <v>0.63990577224296352</v>
      </c>
      <c r="F114" s="336">
        <f t="shared" si="35"/>
        <v>0</v>
      </c>
      <c r="G114" s="336">
        <f t="shared" si="35"/>
        <v>0.3619853686987311</v>
      </c>
      <c r="H114" s="336">
        <f t="shared" si="35"/>
        <v>1.1653240880484652</v>
      </c>
      <c r="I114" s="336">
        <f t="shared" si="35"/>
        <v>0.57234912237190572</v>
      </c>
      <c r="J114" s="336"/>
    </row>
    <row r="115" spans="3:10">
      <c r="C115" s="250" t="s">
        <v>8</v>
      </c>
      <c r="D115" s="336">
        <f t="shared" ref="D115:I115" si="36">+D103/5000</f>
        <v>0</v>
      </c>
      <c r="E115" s="336">
        <f t="shared" si="36"/>
        <v>0</v>
      </c>
      <c r="F115" s="336">
        <f t="shared" si="36"/>
        <v>0.16824319673736482</v>
      </c>
      <c r="G115" s="336">
        <f t="shared" si="36"/>
        <v>0</v>
      </c>
      <c r="H115" s="336">
        <f t="shared" si="36"/>
        <v>0</v>
      </c>
      <c r="I115" s="336">
        <f t="shared" si="36"/>
        <v>0</v>
      </c>
      <c r="J115" s="336"/>
    </row>
    <row r="116" spans="3:10">
      <c r="C116" s="250" t="s">
        <v>57</v>
      </c>
      <c r="D116" s="336">
        <f t="shared" ref="D116:I116" si="37">+D104/5000</f>
        <v>0.46604434640665132</v>
      </c>
      <c r="E116" s="336">
        <f t="shared" si="37"/>
        <v>0</v>
      </c>
      <c r="F116" s="336">
        <f t="shared" si="37"/>
        <v>0</v>
      </c>
      <c r="G116" s="336">
        <f t="shared" si="37"/>
        <v>0</v>
      </c>
      <c r="H116" s="336">
        <f t="shared" si="37"/>
        <v>5.4675262127833878E-2</v>
      </c>
      <c r="I116" s="336">
        <f t="shared" si="37"/>
        <v>0</v>
      </c>
      <c r="J116" s="336"/>
    </row>
    <row r="117" spans="3:10">
      <c r="C117" s="250"/>
      <c r="D117" s="349"/>
      <c r="E117" s="336"/>
      <c r="F117" s="349"/>
      <c r="G117" s="349"/>
      <c r="H117" s="349"/>
      <c r="I117" s="349"/>
      <c r="J117" s="349"/>
    </row>
    <row r="118" spans="3:10">
      <c r="C118" s="250"/>
      <c r="D118" s="349"/>
      <c r="E118" s="349"/>
      <c r="F118" s="349"/>
      <c r="G118" s="349"/>
      <c r="H118" s="349"/>
      <c r="I118" s="349"/>
      <c r="J118" s="349"/>
    </row>
    <row r="119" spans="3:10">
      <c r="C119" s="17" t="s">
        <v>89</v>
      </c>
      <c r="D119" s="349"/>
      <c r="E119" s="349"/>
      <c r="F119" s="349"/>
      <c r="G119" s="349"/>
      <c r="H119" s="349"/>
      <c r="I119" s="349"/>
      <c r="J119" s="349"/>
    </row>
    <row r="120" spans="3:10">
      <c r="C120" s="250" t="s">
        <v>6</v>
      </c>
      <c r="D120" s="336">
        <f>+D108/5000</f>
        <v>7.1383061024824959E-2</v>
      </c>
      <c r="E120" s="336">
        <f t="shared" ref="E120:I120" si="38">+E108/5000</f>
        <v>0</v>
      </c>
      <c r="F120" s="336">
        <f t="shared" si="38"/>
        <v>0</v>
      </c>
      <c r="G120" s="336">
        <f t="shared" si="38"/>
        <v>0.76788692669155612</v>
      </c>
      <c r="H120" s="336">
        <f t="shared" si="38"/>
        <v>1.2287317002073814</v>
      </c>
      <c r="I120" s="336">
        <f t="shared" si="38"/>
        <v>0.57234912237190572</v>
      </c>
      <c r="J120" s="336"/>
    </row>
    <row r="121" spans="3:10">
      <c r="C121" s="250" t="s">
        <v>8</v>
      </c>
      <c r="D121" s="336">
        <f t="shared" ref="D121:I121" si="39">+D109/5000</f>
        <v>0</v>
      </c>
      <c r="E121" s="336">
        <f t="shared" si="39"/>
        <v>0</v>
      </c>
      <c r="F121" s="336">
        <f t="shared" si="39"/>
        <v>4.5845133937338252E-2</v>
      </c>
      <c r="G121" s="336">
        <f t="shared" si="39"/>
        <v>0</v>
      </c>
      <c r="H121" s="336">
        <f t="shared" si="39"/>
        <v>0.38502345035704094</v>
      </c>
      <c r="I121" s="336">
        <f t="shared" si="39"/>
        <v>0</v>
      </c>
      <c r="J121" s="336"/>
    </row>
    <row r="122" spans="3:10">
      <c r="C122" s="250" t="s">
        <v>57</v>
      </c>
      <c r="D122" s="336">
        <f t="shared" ref="D122:I122" si="40">+D110/5000</f>
        <v>0</v>
      </c>
      <c r="E122" s="336">
        <f t="shared" si="40"/>
        <v>0</v>
      </c>
      <c r="F122" s="336">
        <f t="shared" si="40"/>
        <v>0.32010024826106537</v>
      </c>
      <c r="G122" s="336">
        <f t="shared" si="40"/>
        <v>0</v>
      </c>
      <c r="H122" s="336">
        <f t="shared" si="40"/>
        <v>1.1973076662071393E-2</v>
      </c>
      <c r="I122" s="336">
        <f t="shared" si="40"/>
        <v>0</v>
      </c>
      <c r="J122" s="336"/>
    </row>
    <row r="123" spans="3:10">
      <c r="C123" s="250"/>
      <c r="D123" s="349"/>
      <c r="E123" s="349"/>
      <c r="F123" s="349"/>
      <c r="G123" s="349"/>
      <c r="H123" s="349"/>
      <c r="I123" s="349"/>
      <c r="J123" s="349"/>
    </row>
    <row r="125" spans="3:10">
      <c r="D125" s="361" t="s">
        <v>11</v>
      </c>
      <c r="E125" s="362" t="s">
        <v>93</v>
      </c>
      <c r="F125" s="362" t="s">
        <v>84</v>
      </c>
      <c r="G125" s="362" t="s">
        <v>94</v>
      </c>
      <c r="H125" s="362" t="s">
        <v>44</v>
      </c>
      <c r="I125" s="362" t="s">
        <v>95</v>
      </c>
    </row>
    <row r="126" spans="3:10">
      <c r="C126" s="17" t="str">
        <f>+C89</f>
        <v>Direct</v>
      </c>
      <c r="D126" s="363">
        <f>+D89/$L$98</f>
        <v>0.46483178746074938</v>
      </c>
      <c r="E126" s="363">
        <f t="shared" ref="E126:I126" si="41">+E89/$L$98</f>
        <v>4.2472087331220064E-2</v>
      </c>
      <c r="F126" s="363">
        <f t="shared" si="41"/>
        <v>0</v>
      </c>
      <c r="G126" s="363">
        <f t="shared" si="41"/>
        <v>1.359106794599042E-2</v>
      </c>
      <c r="H126" s="363">
        <f t="shared" si="41"/>
        <v>0.14085264192486441</v>
      </c>
      <c r="I126" s="363">
        <f t="shared" si="41"/>
        <v>3.3977669864976051E-2</v>
      </c>
      <c r="J126" s="17"/>
    </row>
    <row r="127" spans="3:10">
      <c r="C127" s="17" t="str">
        <f t="shared" ref="C127" si="42">+C90</f>
        <v>Operation CO2</v>
      </c>
      <c r="D127" s="363">
        <f t="shared" ref="D127:I127" si="43">+D90/$L$98</f>
        <v>0</v>
      </c>
      <c r="E127" s="363">
        <f t="shared" si="43"/>
        <v>0</v>
      </c>
      <c r="F127" s="363">
        <f t="shared" si="43"/>
        <v>2.9359359253840686E-3</v>
      </c>
      <c r="G127" s="363">
        <f t="shared" si="43"/>
        <v>0</v>
      </c>
      <c r="H127" s="363">
        <f t="shared" si="43"/>
        <v>0</v>
      </c>
      <c r="I127" s="363">
        <f t="shared" si="43"/>
        <v>0</v>
      </c>
      <c r="J127" s="17"/>
    </row>
    <row r="128" spans="3:10">
      <c r="C128" s="17" t="str">
        <f t="shared" ref="C128" si="44">+C91</f>
        <v>Embedded CO2</v>
      </c>
      <c r="D128" s="363">
        <f t="shared" ref="D128:I128" si="45">+D91/$L$98</f>
        <v>2.2528176380154995E-2</v>
      </c>
      <c r="E128" s="363">
        <f t="shared" si="45"/>
        <v>0</v>
      </c>
      <c r="F128" s="363">
        <f t="shared" si="45"/>
        <v>0</v>
      </c>
      <c r="G128" s="363">
        <f t="shared" si="45"/>
        <v>0</v>
      </c>
      <c r="H128" s="363">
        <f t="shared" si="45"/>
        <v>3.1006539376576716E-4</v>
      </c>
      <c r="I128" s="363">
        <f t="shared" si="45"/>
        <v>0</v>
      </c>
      <c r="J128" s="17"/>
    </row>
    <row r="129" spans="2:11">
      <c r="J129" s="17"/>
    </row>
    <row r="130" spans="2:11">
      <c r="J130" s="17"/>
    </row>
    <row r="131" spans="2:11">
      <c r="C131" s="17" t="str">
        <f t="shared" ref="C131" si="46">+C94</f>
        <v>(a) offsite</v>
      </c>
      <c r="J131" s="17"/>
      <c r="K131" s="17">
        <v>87</v>
      </c>
    </row>
    <row r="132" spans="2:11">
      <c r="C132" s="17" t="str">
        <f t="shared" ref="C132" si="47">+C95</f>
        <v>Direct CH4</v>
      </c>
      <c r="D132" s="363">
        <f>+D95/$L$98</f>
        <v>5.2852055755528502E-4</v>
      </c>
      <c r="E132" s="363">
        <f t="shared" ref="E132:I132" si="48">+E95/$L$98</f>
        <v>0</v>
      </c>
      <c r="F132" s="363">
        <f t="shared" si="48"/>
        <v>0</v>
      </c>
      <c r="G132" s="363">
        <f t="shared" si="48"/>
        <v>6.1159805756956891E-2</v>
      </c>
      <c r="H132" s="363">
        <f t="shared" si="48"/>
        <v>0.15659780688122651</v>
      </c>
      <c r="I132" s="363">
        <f t="shared" si="48"/>
        <v>3.3977669864976051E-2</v>
      </c>
      <c r="J132" s="17"/>
    </row>
    <row r="133" spans="2:11">
      <c r="C133" s="17" t="str">
        <f t="shared" ref="C133" si="49">+C96</f>
        <v>Operation CO2</v>
      </c>
      <c r="D133" s="363">
        <f t="shared" ref="D133:I133" si="50">+D96/$L$98</f>
        <v>0</v>
      </c>
      <c r="E133" s="363">
        <f t="shared" si="50"/>
        <v>0</v>
      </c>
      <c r="F133" s="363">
        <f t="shared" si="50"/>
        <v>2.1800077704883561E-4</v>
      </c>
      <c r="G133" s="363">
        <f t="shared" si="50"/>
        <v>0</v>
      </c>
      <c r="H133" s="363">
        <f t="shared" si="50"/>
        <v>1.537609002478864E-2</v>
      </c>
      <c r="I133" s="363">
        <f t="shared" si="50"/>
        <v>0</v>
      </c>
      <c r="J133" s="17"/>
    </row>
    <row r="134" spans="2:11">
      <c r="C134" s="17" t="str">
        <f t="shared" ref="C134" si="51">+C97</f>
        <v>Embedded CO2</v>
      </c>
      <c r="D134" s="363">
        <f t="shared" ref="D134:I134" si="52">+D97/$L$98</f>
        <v>0</v>
      </c>
      <c r="E134" s="363">
        <f t="shared" si="52"/>
        <v>0</v>
      </c>
      <c r="F134" s="363">
        <f t="shared" si="52"/>
        <v>1.0627804865323156E-2</v>
      </c>
      <c r="G134" s="363">
        <f t="shared" si="52"/>
        <v>0</v>
      </c>
      <c r="H134" s="363">
        <f t="shared" si="52"/>
        <v>1.4869045019222021E-5</v>
      </c>
      <c r="I134" s="363">
        <f t="shared" si="52"/>
        <v>0</v>
      </c>
      <c r="J134" s="17"/>
    </row>
    <row r="135" spans="2:11">
      <c r="J135" s="17"/>
    </row>
    <row r="136" spans="2:11">
      <c r="D136" s="375">
        <f t="shared" ref="D136:I136" si="53">SUM(D126:D134)</f>
        <v>0.48788848439845967</v>
      </c>
      <c r="E136" s="375">
        <f t="shared" si="53"/>
        <v>4.2472087331220064E-2</v>
      </c>
      <c r="F136" s="375">
        <f t="shared" si="53"/>
        <v>1.3781741567756061E-2</v>
      </c>
      <c r="G136" s="375">
        <f t="shared" si="53"/>
        <v>7.4750873702947307E-2</v>
      </c>
      <c r="H136" s="375">
        <f t="shared" si="53"/>
        <v>0.31315147326966458</v>
      </c>
      <c r="I136" s="375">
        <f t="shared" si="53"/>
        <v>6.7955339729952102E-2</v>
      </c>
      <c r="J136" s="17"/>
    </row>
    <row r="140" spans="2:11" ht="2.4500000000000002" customHeight="1"/>
    <row r="143" spans="2:11" ht="10.5">
      <c r="B143" s="18" t="s">
        <v>96</v>
      </c>
    </row>
    <row r="144" spans="2:11" ht="10.5" thickBot="1"/>
    <row r="145" spans="3:13" ht="15" customHeight="1" thickBot="1">
      <c r="C145" s="378" t="s">
        <v>97</v>
      </c>
      <c r="D145" s="377" t="s">
        <v>98</v>
      </c>
      <c r="E145" s="377"/>
      <c r="F145" s="377"/>
      <c r="G145" s="377"/>
      <c r="H145" s="377"/>
      <c r="I145" s="377"/>
      <c r="J145" s="377"/>
    </row>
    <row r="146" spans="3:13" ht="39.6" customHeight="1" thickBot="1">
      <c r="C146" s="380"/>
      <c r="D146" s="385" t="s">
        <v>99</v>
      </c>
      <c r="E146" s="385"/>
      <c r="F146" s="386" t="s">
        <v>100</v>
      </c>
      <c r="G146" s="386"/>
      <c r="H146" s="386" t="s">
        <v>101</v>
      </c>
      <c r="I146" s="386"/>
    </row>
    <row r="147" spans="3:13" ht="13.5" customHeight="1" thickBot="1">
      <c r="C147" s="377" t="s">
        <v>102</v>
      </c>
      <c r="D147" s="377"/>
      <c r="E147" s="377"/>
      <c r="F147" s="377"/>
      <c r="G147" s="377"/>
      <c r="H147" s="377"/>
      <c r="I147" s="377"/>
      <c r="J147" s="377"/>
    </row>
    <row r="148" spans="3:13" ht="12.95">
      <c r="C148" s="378" t="s">
        <v>103</v>
      </c>
      <c r="D148" s="365" t="s">
        <v>104</v>
      </c>
      <c r="E148" s="368">
        <f>+D89/1000</f>
        <v>87949.613466478346</v>
      </c>
      <c r="F148" s="365" t="s">
        <v>105</v>
      </c>
      <c r="G148" s="368">
        <f>+F89/1000</f>
        <v>0</v>
      </c>
      <c r="H148" s="365" t="s">
        <v>106</v>
      </c>
      <c r="I148" s="368">
        <f>+H89/1000</f>
        <v>26650.362017400003</v>
      </c>
      <c r="J148" s="367"/>
      <c r="K148" s="158">
        <f>E148+G148+I148</f>
        <v>114599.97548387834</v>
      </c>
    </row>
    <row r="149" spans="3:13" ht="12.95">
      <c r="C149" s="379"/>
      <c r="D149" s="365" t="s">
        <v>107</v>
      </c>
      <c r="E149" s="368">
        <f>+E89/1000</f>
        <v>8036.0331729910704</v>
      </c>
      <c r="F149" s="365" t="s">
        <v>108</v>
      </c>
      <c r="G149" s="368">
        <f>+G89/1000</f>
        <v>2571.5306153571423</v>
      </c>
      <c r="H149" s="365" t="s">
        <v>109</v>
      </c>
      <c r="I149" s="368">
        <f>+I89/1000</f>
        <v>6428.8265383928565</v>
      </c>
      <c r="J149" s="367"/>
      <c r="K149" s="158">
        <f t="shared" ref="K149:K153" si="54">E149+G149+I149</f>
        <v>17036.390326741068</v>
      </c>
    </row>
    <row r="150" spans="3:13" ht="12.95">
      <c r="C150" s="379" t="s">
        <v>110</v>
      </c>
      <c r="D150" s="365" t="s">
        <v>104</v>
      </c>
      <c r="E150" s="368">
        <f>D90/1000</f>
        <v>0</v>
      </c>
      <c r="F150" s="365" t="s">
        <v>105</v>
      </c>
      <c r="G150" s="368">
        <f>+F90/1000</f>
        <v>555.50080000000003</v>
      </c>
      <c r="H150" s="381" t="s">
        <v>111</v>
      </c>
      <c r="I150" s="368">
        <f>+(H90+I90)/1000</f>
        <v>0</v>
      </c>
      <c r="J150" s="367"/>
      <c r="K150" s="158">
        <f t="shared" si="54"/>
        <v>555.50080000000003</v>
      </c>
      <c r="L150" s="158">
        <f>SUM(K148:K153)</f>
        <v>136513.03093383153</v>
      </c>
    </row>
    <row r="151" spans="3:13" ht="12.95">
      <c r="C151" s="379"/>
      <c r="D151" s="365" t="s">
        <v>107</v>
      </c>
      <c r="E151" s="368">
        <f>+E90/1000</f>
        <v>0</v>
      </c>
      <c r="F151" s="365" t="s">
        <v>108</v>
      </c>
      <c r="G151" s="368">
        <f>+G90/1000</f>
        <v>0</v>
      </c>
      <c r="H151" s="381"/>
      <c r="I151" s="368"/>
      <c r="J151" s="367"/>
      <c r="K151" s="158">
        <f t="shared" si="54"/>
        <v>0</v>
      </c>
    </row>
    <row r="152" spans="3:13" ht="12.95">
      <c r="C152" s="379" t="s">
        <v>112</v>
      </c>
      <c r="D152" s="381" t="s">
        <v>113</v>
      </c>
      <c r="E152" s="383">
        <f>+(D91+E91)/1000</f>
        <v>4262.4976565454544</v>
      </c>
      <c r="F152" s="381" t="s">
        <v>114</v>
      </c>
      <c r="G152" s="383">
        <f>+(F91+G91)/1000</f>
        <v>0</v>
      </c>
      <c r="H152" s="365" t="s">
        <v>106</v>
      </c>
      <c r="I152" s="370">
        <f>+H91/1000</f>
        <v>58.666666666666664</v>
      </c>
      <c r="J152" s="367"/>
      <c r="K152" s="158">
        <f t="shared" si="54"/>
        <v>4321.1643232121214</v>
      </c>
    </row>
    <row r="153" spans="3:13" ht="13.5" thickBot="1">
      <c r="C153" s="380"/>
      <c r="D153" s="382"/>
      <c r="E153" s="384"/>
      <c r="F153" s="382"/>
      <c r="G153" s="384"/>
      <c r="H153" s="366" t="s">
        <v>109</v>
      </c>
      <c r="I153" s="371">
        <f>+I91/1000</f>
        <v>0</v>
      </c>
      <c r="J153" s="367"/>
      <c r="K153" s="158">
        <f t="shared" si="54"/>
        <v>0</v>
      </c>
    </row>
    <row r="154" spans="3:13" ht="13.5" customHeight="1" thickBot="1">
      <c r="C154" s="377" t="s">
        <v>115</v>
      </c>
      <c r="D154" s="377"/>
      <c r="E154" s="377"/>
      <c r="F154" s="377"/>
      <c r="G154" s="377"/>
      <c r="H154" s="377"/>
      <c r="I154" s="377"/>
      <c r="J154" s="377"/>
      <c r="M154" s="158">
        <f>+L150+L157</f>
        <v>189207.39897527947</v>
      </c>
    </row>
    <row r="155" spans="3:13" ht="12.95">
      <c r="C155" s="378" t="s">
        <v>103</v>
      </c>
      <c r="D155" s="365" t="s">
        <v>104</v>
      </c>
      <c r="E155" s="368">
        <f>+D95/1000</f>
        <v>100</v>
      </c>
      <c r="F155" s="365" t="s">
        <v>105</v>
      </c>
      <c r="G155" s="368">
        <f>+F95/1000</f>
        <v>0</v>
      </c>
      <c r="H155" s="365" t="s">
        <v>106</v>
      </c>
      <c r="I155" s="368">
        <f>+H95/1000</f>
        <v>29629.463725230002</v>
      </c>
      <c r="J155" s="367"/>
      <c r="K155" s="158">
        <f t="shared" ref="K155:K160" si="55">E155+G155+I155</f>
        <v>29729.463725230002</v>
      </c>
    </row>
    <row r="156" spans="3:13" ht="12.95">
      <c r="C156" s="379"/>
      <c r="D156" s="365" t="s">
        <v>107</v>
      </c>
      <c r="E156" s="368">
        <f>+E95/1000</f>
        <v>0</v>
      </c>
      <c r="F156" s="365" t="s">
        <v>108</v>
      </c>
      <c r="G156" s="368">
        <f>+G95/1000</f>
        <v>11571.887769107141</v>
      </c>
      <c r="H156" s="365" t="s">
        <v>109</v>
      </c>
      <c r="I156" s="368">
        <f>+I95/1000</f>
        <v>6428.8265383928565</v>
      </c>
      <c r="J156" s="367"/>
      <c r="K156" s="158">
        <f t="shared" si="55"/>
        <v>18000.714307499999</v>
      </c>
    </row>
    <row r="157" spans="3:13" ht="12.95">
      <c r="C157" s="379" t="s">
        <v>110</v>
      </c>
      <c r="D157" s="365" t="s">
        <v>104</v>
      </c>
      <c r="E157" s="368">
        <f>+D96/1000</f>
        <v>0</v>
      </c>
      <c r="F157" s="365" t="s">
        <v>105</v>
      </c>
      <c r="G157" s="368">
        <f>+F96/1000</f>
        <v>41.24736</v>
      </c>
      <c r="H157" s="365" t="s">
        <v>106</v>
      </c>
      <c r="I157" s="368">
        <f>+H96/1000</f>
        <v>2909.27</v>
      </c>
      <c r="J157" s="367"/>
      <c r="K157" s="158">
        <f t="shared" si="55"/>
        <v>2950.5173599999998</v>
      </c>
      <c r="L157" s="158">
        <f>SUM(K155:K160)</f>
        <v>52694.368041447946</v>
      </c>
    </row>
    <row r="158" spans="3:13" ht="12.95">
      <c r="C158" s="379"/>
      <c r="D158" s="365" t="s">
        <v>107</v>
      </c>
      <c r="E158" s="368">
        <f>+E96/1000</f>
        <v>0</v>
      </c>
      <c r="F158" s="365" t="s">
        <v>108</v>
      </c>
      <c r="G158" s="368">
        <f>+G96/1000</f>
        <v>0</v>
      </c>
      <c r="H158" s="365" t="s">
        <v>109</v>
      </c>
      <c r="I158" s="368">
        <f>+I96/1000</f>
        <v>0</v>
      </c>
      <c r="J158" s="367"/>
      <c r="K158" s="158">
        <f t="shared" si="55"/>
        <v>0</v>
      </c>
    </row>
    <row r="159" spans="3:13" ht="9.9499999999999993" customHeight="1">
      <c r="C159" s="379" t="s">
        <v>112</v>
      </c>
      <c r="D159" s="381" t="s">
        <v>113</v>
      </c>
      <c r="E159" s="383">
        <f>+(D97+E97)/1000</f>
        <v>0</v>
      </c>
      <c r="F159" s="383" t="s">
        <v>116</v>
      </c>
      <c r="G159" s="383">
        <f>+(F97+G97)/1000</f>
        <v>2010.8593153846155</v>
      </c>
      <c r="H159" s="370" t="s">
        <v>106</v>
      </c>
      <c r="I159" s="370">
        <f>+H97/1000</f>
        <v>2.8133333333333339</v>
      </c>
      <c r="J159" s="381"/>
      <c r="K159" s="158">
        <f t="shared" si="55"/>
        <v>2013.6726487179487</v>
      </c>
    </row>
    <row r="160" spans="3:13" ht="10.5" customHeight="1" thickBot="1">
      <c r="C160" s="380"/>
      <c r="D160" s="382"/>
      <c r="E160" s="384"/>
      <c r="F160" s="384"/>
      <c r="G160" s="384"/>
      <c r="H160" s="371" t="s">
        <v>109</v>
      </c>
      <c r="I160" s="371">
        <f>+I97/1000</f>
        <v>0</v>
      </c>
      <c r="J160" s="382"/>
      <c r="K160" s="158">
        <f t="shared" si="55"/>
        <v>0</v>
      </c>
    </row>
    <row r="161" spans="3:13" ht="12.95">
      <c r="E161" s="368"/>
    </row>
    <row r="162" spans="3:13" ht="10.5" thickBot="1"/>
    <row r="163" spans="3:13" ht="13.5" thickBot="1">
      <c r="C163" s="378" t="s">
        <v>117</v>
      </c>
      <c r="D163" s="377" t="s">
        <v>118</v>
      </c>
      <c r="E163" s="377"/>
      <c r="F163" s="377"/>
      <c r="G163" s="377"/>
      <c r="H163" s="377"/>
      <c r="I163" s="377"/>
      <c r="J163" s="377"/>
    </row>
    <row r="164" spans="3:13" ht="13.5" thickBot="1">
      <c r="C164" s="380"/>
      <c r="D164" s="385" t="s">
        <v>119</v>
      </c>
      <c r="E164" s="385"/>
      <c r="F164" s="386" t="s">
        <v>120</v>
      </c>
      <c r="G164" s="386"/>
      <c r="H164" s="386" t="s">
        <v>121</v>
      </c>
      <c r="I164" s="386"/>
    </row>
    <row r="165" spans="3:13" ht="13.5" thickBot="1">
      <c r="C165" s="377" t="s">
        <v>122</v>
      </c>
      <c r="D165" s="377"/>
      <c r="E165" s="377"/>
      <c r="F165" s="377"/>
      <c r="G165" s="377"/>
      <c r="H165" s="377"/>
      <c r="I165" s="377"/>
      <c r="J165" s="377"/>
    </row>
    <row r="166" spans="3:13" ht="12.95">
      <c r="C166" s="378" t="s">
        <v>103</v>
      </c>
      <c r="D166" s="365" t="s">
        <v>104</v>
      </c>
      <c r="E166" s="369">
        <f>+IF(E183=0,"-",(E148-E183)/E183)</f>
        <v>0</v>
      </c>
      <c r="F166" s="365" t="s">
        <v>105</v>
      </c>
      <c r="G166" s="369" t="str">
        <f>+IF(G183=0,"-",(G148-G183)/G183)</f>
        <v>-</v>
      </c>
      <c r="H166" s="365" t="s">
        <v>106</v>
      </c>
      <c r="I166" s="369">
        <f t="shared" ref="I166:M178" si="56">+IF(I183=0,"-",(I148-I183)/I183)</f>
        <v>0</v>
      </c>
      <c r="J166" s="367"/>
      <c r="K166" s="369">
        <f t="shared" si="56"/>
        <v>0</v>
      </c>
    </row>
    <row r="167" spans="3:13" ht="12.95">
      <c r="C167" s="379"/>
      <c r="D167" s="365" t="s">
        <v>107</v>
      </c>
      <c r="E167" s="369">
        <f t="shared" ref="E167:G169" si="57">+IF(E184=0,"-",(E149-E184)/E184)</f>
        <v>0</v>
      </c>
      <c r="F167" s="365" t="s">
        <v>108</v>
      </c>
      <c r="G167" s="369">
        <f t="shared" si="57"/>
        <v>0</v>
      </c>
      <c r="H167" s="365" t="s">
        <v>109</v>
      </c>
      <c r="I167" s="369">
        <f t="shared" si="56"/>
        <v>0</v>
      </c>
      <c r="J167" s="367"/>
      <c r="K167" s="369">
        <f t="shared" si="56"/>
        <v>0</v>
      </c>
    </row>
    <row r="168" spans="3:13" ht="12.95" customHeight="1">
      <c r="C168" s="379" t="s">
        <v>110</v>
      </c>
      <c r="D168" s="365" t="s">
        <v>104</v>
      </c>
      <c r="E168" s="369" t="str">
        <f t="shared" si="57"/>
        <v>-</v>
      </c>
      <c r="F168" s="365" t="s">
        <v>105</v>
      </c>
      <c r="G168" s="369">
        <f t="shared" si="57"/>
        <v>0</v>
      </c>
      <c r="H168" s="381" t="s">
        <v>111</v>
      </c>
      <c r="I168" s="369" t="str">
        <f t="shared" si="56"/>
        <v>-</v>
      </c>
      <c r="J168" s="367"/>
      <c r="K168" s="369">
        <f t="shared" si="56"/>
        <v>0</v>
      </c>
      <c r="L168" s="369">
        <f t="shared" si="56"/>
        <v>0</v>
      </c>
    </row>
    <row r="169" spans="3:13" ht="12.95">
      <c r="C169" s="379"/>
      <c r="D169" s="365" t="s">
        <v>107</v>
      </c>
      <c r="E169" s="369" t="str">
        <f t="shared" si="57"/>
        <v>-</v>
      </c>
      <c r="F169" s="365" t="s">
        <v>108</v>
      </c>
      <c r="G169" s="369" t="str">
        <f t="shared" si="57"/>
        <v>-</v>
      </c>
      <c r="H169" s="381"/>
      <c r="I169" s="369" t="str">
        <f t="shared" si="56"/>
        <v>-</v>
      </c>
      <c r="J169" s="367"/>
      <c r="K169" s="369" t="str">
        <f t="shared" si="56"/>
        <v>-</v>
      </c>
    </row>
    <row r="170" spans="3:13" ht="12.95">
      <c r="C170" s="379" t="s">
        <v>112</v>
      </c>
      <c r="D170" s="381" t="s">
        <v>113</v>
      </c>
      <c r="E170" s="387">
        <f>IF(E187=0,"-",(E152-E187)/E187)</f>
        <v>0</v>
      </c>
      <c r="F170" s="381" t="s">
        <v>114</v>
      </c>
      <c r="G170" s="387" t="str">
        <f>IF(G187=0,"-",(G152-G187)/G187)</f>
        <v>-</v>
      </c>
      <c r="H170" s="365" t="s">
        <v>106</v>
      </c>
      <c r="I170" s="369">
        <f t="shared" si="56"/>
        <v>0</v>
      </c>
      <c r="J170" s="367"/>
      <c r="K170" s="369">
        <f t="shared" si="56"/>
        <v>0</v>
      </c>
    </row>
    <row r="171" spans="3:13" ht="13.5" thickBot="1">
      <c r="C171" s="380"/>
      <c r="D171" s="382"/>
      <c r="E171" s="388"/>
      <c r="F171" s="382"/>
      <c r="G171" s="388"/>
      <c r="H171" s="366" t="s">
        <v>109</v>
      </c>
      <c r="I171" s="369" t="str">
        <f t="shared" si="56"/>
        <v>-</v>
      </c>
      <c r="J171" s="367"/>
      <c r="K171" s="369" t="str">
        <f t="shared" si="56"/>
        <v>-</v>
      </c>
    </row>
    <row r="172" spans="3:13" ht="13.5" thickBot="1">
      <c r="C172" s="377" t="s">
        <v>115</v>
      </c>
      <c r="D172" s="377"/>
      <c r="E172" s="377"/>
      <c r="F172" s="377"/>
      <c r="G172" s="377"/>
      <c r="H172" s="377"/>
      <c r="I172" s="377"/>
      <c r="J172" s="377"/>
      <c r="M172" s="369">
        <f t="shared" si="56"/>
        <v>5.288000392468632E-4</v>
      </c>
    </row>
    <row r="173" spans="3:13" ht="12.95">
      <c r="C173" s="378" t="s">
        <v>103</v>
      </c>
      <c r="D173" s="365" t="s">
        <v>104</v>
      </c>
      <c r="E173" s="369" t="str">
        <f>+IF(E190=0,"-",(E155-E190)/E190)</f>
        <v>-</v>
      </c>
      <c r="F173" s="365" t="s">
        <v>105</v>
      </c>
      <c r="G173" s="369" t="str">
        <f>+IF(G190=0,"-",(G155-G190)/G190)</f>
        <v>-</v>
      </c>
      <c r="H173" s="365" t="s">
        <v>106</v>
      </c>
      <c r="I173" s="369">
        <f t="shared" si="56"/>
        <v>0</v>
      </c>
      <c r="J173" s="367"/>
      <c r="K173" s="369">
        <f t="shared" ref="K173" si="58">+IF(K190=0,"-",(K155-K190)/K190)</f>
        <v>3.3750188976538332E-3</v>
      </c>
    </row>
    <row r="174" spans="3:13" ht="12.95">
      <c r="C174" s="379"/>
      <c r="D174" s="365" t="s">
        <v>107</v>
      </c>
      <c r="E174" s="369" t="str">
        <f t="shared" ref="E174" si="59">+IF(E191=0,"-",(E156-E191)/E191)</f>
        <v>-</v>
      </c>
      <c r="F174" s="365" t="s">
        <v>108</v>
      </c>
      <c r="G174" s="369">
        <f t="shared" ref="G174" si="60">+IF(G191=0,"-",(G156-G191)/G191)</f>
        <v>0</v>
      </c>
      <c r="H174" s="365" t="s">
        <v>109</v>
      </c>
      <c r="I174" s="369">
        <f t="shared" si="56"/>
        <v>0</v>
      </c>
      <c r="J174" s="367"/>
      <c r="K174" s="369">
        <f t="shared" ref="K174" si="61">+IF(K191=0,"-",(K156-K191)/K191)</f>
        <v>0</v>
      </c>
    </row>
    <row r="175" spans="3:13" ht="12.95">
      <c r="C175" s="379" t="s">
        <v>110</v>
      </c>
      <c r="D175" s="365" t="s">
        <v>104</v>
      </c>
      <c r="E175" s="369" t="str">
        <f t="shared" ref="E175" si="62">+IF(E192=0,"-",(E157-E192)/E192)</f>
        <v>-</v>
      </c>
      <c r="F175" s="365" t="s">
        <v>105</v>
      </c>
      <c r="G175" s="369">
        <f t="shared" ref="G175" si="63">+IF(G192=0,"-",(G157-G192)/G192)</f>
        <v>0</v>
      </c>
      <c r="H175" s="365" t="s">
        <v>106</v>
      </c>
      <c r="I175" s="369">
        <f t="shared" si="56"/>
        <v>0</v>
      </c>
      <c r="J175" s="367"/>
      <c r="K175" s="369">
        <f t="shared" ref="K175" si="64">+IF(K192=0,"-",(K157-K192)/K192)</f>
        <v>0</v>
      </c>
      <c r="L175" s="369">
        <f t="shared" si="56"/>
        <v>1.9013442641081491E-3</v>
      </c>
    </row>
    <row r="176" spans="3:13" ht="12.95">
      <c r="C176" s="379"/>
      <c r="D176" s="365" t="s">
        <v>107</v>
      </c>
      <c r="E176" s="369" t="str">
        <f t="shared" ref="E176" si="65">+IF(E193=0,"-",(E158-E193)/E193)</f>
        <v>-</v>
      </c>
      <c r="F176" s="365" t="s">
        <v>108</v>
      </c>
      <c r="G176" s="369" t="str">
        <f t="shared" ref="G176" si="66">+IF(G193=0,"-",(G158-G193)/G193)</f>
        <v>-</v>
      </c>
      <c r="H176" s="365" t="s">
        <v>109</v>
      </c>
      <c r="I176" s="369" t="str">
        <f t="shared" si="56"/>
        <v>-</v>
      </c>
      <c r="J176" s="367"/>
      <c r="K176" s="369" t="str">
        <f t="shared" ref="K176" si="67">+IF(K193=0,"-",(K158-K193)/K193)</f>
        <v>-</v>
      </c>
    </row>
    <row r="177" spans="3:13" ht="9.9499999999999993" customHeight="1">
      <c r="C177" s="379" t="s">
        <v>112</v>
      </c>
      <c r="D177" s="381" t="s">
        <v>113</v>
      </c>
      <c r="E177" s="387" t="str">
        <f>IF(E194=0,"-",(E159-E194)/E194)</f>
        <v>-</v>
      </c>
      <c r="F177" s="383" t="s">
        <v>116</v>
      </c>
      <c r="G177" s="387">
        <f>IF(G194=0,"-",(G159-G194)/G194)</f>
        <v>0</v>
      </c>
      <c r="H177" s="383" t="s">
        <v>106</v>
      </c>
      <c r="I177" s="369">
        <f t="shared" si="56"/>
        <v>0</v>
      </c>
      <c r="J177" s="381"/>
      <c r="K177" s="369">
        <f t="shared" ref="K177" si="68">+IF(K194=0,"-",(K159-K194)/K194)</f>
        <v>0</v>
      </c>
    </row>
    <row r="178" spans="3:13" ht="10.5" customHeight="1" thickBot="1">
      <c r="C178" s="380"/>
      <c r="D178" s="382"/>
      <c r="E178" s="388"/>
      <c r="F178" s="384"/>
      <c r="G178" s="388"/>
      <c r="H178" s="384" t="s">
        <v>109</v>
      </c>
      <c r="I178" s="372" t="str">
        <f t="shared" si="56"/>
        <v>-</v>
      </c>
      <c r="J178" s="382"/>
      <c r="K178" s="369" t="str">
        <f t="shared" ref="K178" si="69">+IF(K195=0,"-",(K160-K195)/K195)</f>
        <v>-</v>
      </c>
    </row>
    <row r="179" spans="3:13" ht="10.5" thickBot="1"/>
    <row r="180" spans="3:13" ht="13.5" thickBot="1">
      <c r="C180" s="378" t="s">
        <v>117</v>
      </c>
      <c r="D180" s="377" t="s">
        <v>118</v>
      </c>
      <c r="E180" s="377"/>
      <c r="F180" s="377"/>
      <c r="G180" s="377"/>
      <c r="H180" s="377"/>
      <c r="I180" s="377"/>
      <c r="J180" s="377"/>
    </row>
    <row r="181" spans="3:13" ht="13.5" thickBot="1">
      <c r="C181" s="380"/>
      <c r="D181" s="385" t="s">
        <v>119</v>
      </c>
      <c r="E181" s="385"/>
      <c r="F181" s="386" t="s">
        <v>120</v>
      </c>
      <c r="G181" s="386"/>
      <c r="H181" s="386" t="s">
        <v>121</v>
      </c>
      <c r="I181" s="386"/>
    </row>
    <row r="182" spans="3:13" ht="13.5" thickBot="1">
      <c r="C182" s="377" t="s">
        <v>122</v>
      </c>
      <c r="D182" s="377"/>
      <c r="E182" s="377"/>
      <c r="F182" s="377"/>
      <c r="G182" s="377"/>
      <c r="H182" s="377"/>
      <c r="I182" s="377"/>
      <c r="J182" s="377"/>
    </row>
    <row r="183" spans="3:13" ht="12.95">
      <c r="C183" s="378" t="s">
        <v>103</v>
      </c>
      <c r="D183" s="365" t="s">
        <v>104</v>
      </c>
      <c r="E183" s="368">
        <v>87949.613466478346</v>
      </c>
      <c r="F183" s="365" t="s">
        <v>105</v>
      </c>
      <c r="G183" s="368">
        <v>0</v>
      </c>
      <c r="H183" s="365" t="s">
        <v>106</v>
      </c>
      <c r="I183" s="368">
        <v>26650.362017400003</v>
      </c>
      <c r="J183" s="367"/>
      <c r="K183" s="158">
        <f>E183+G183+I183</f>
        <v>114599.97548387834</v>
      </c>
    </row>
    <row r="184" spans="3:13" ht="12.95">
      <c r="C184" s="379"/>
      <c r="D184" s="365" t="s">
        <v>107</v>
      </c>
      <c r="E184" s="368">
        <v>8036.0331729910704</v>
      </c>
      <c r="F184" s="365" t="s">
        <v>108</v>
      </c>
      <c r="G184" s="368">
        <v>2571.5306153571423</v>
      </c>
      <c r="H184" s="365" t="s">
        <v>109</v>
      </c>
      <c r="I184" s="368">
        <v>6428.8265383928565</v>
      </c>
      <c r="J184" s="367"/>
      <c r="K184" s="158">
        <f t="shared" ref="K184:K188" si="70">E184+G184+I184</f>
        <v>17036.390326741068</v>
      </c>
    </row>
    <row r="185" spans="3:13" ht="12.95" customHeight="1">
      <c r="C185" s="379" t="s">
        <v>110</v>
      </c>
      <c r="D185" s="365" t="s">
        <v>104</v>
      </c>
      <c r="E185" s="368">
        <v>0</v>
      </c>
      <c r="F185" s="365" t="s">
        <v>105</v>
      </c>
      <c r="G185" s="368">
        <v>555.50080000000003</v>
      </c>
      <c r="H185" s="381" t="s">
        <v>111</v>
      </c>
      <c r="I185" s="368">
        <v>0</v>
      </c>
      <c r="J185" s="367"/>
      <c r="K185" s="158">
        <f t="shared" si="70"/>
        <v>555.50080000000003</v>
      </c>
      <c r="L185" s="158">
        <f>SUM(K183:K188)</f>
        <v>136513.03093383153</v>
      </c>
    </row>
    <row r="186" spans="3:13" ht="12.95">
      <c r="C186" s="379"/>
      <c r="D186" s="365" t="s">
        <v>107</v>
      </c>
      <c r="E186" s="368">
        <v>0</v>
      </c>
      <c r="F186" s="365" t="s">
        <v>108</v>
      </c>
      <c r="G186" s="368">
        <v>0</v>
      </c>
      <c r="H186" s="381"/>
      <c r="I186" s="368"/>
      <c r="J186" s="367"/>
      <c r="K186" s="158">
        <f t="shared" si="70"/>
        <v>0</v>
      </c>
    </row>
    <row r="187" spans="3:13" ht="12.95">
      <c r="C187" s="379" t="s">
        <v>112</v>
      </c>
      <c r="D187" s="381" t="s">
        <v>113</v>
      </c>
      <c r="E187" s="383">
        <v>4262.4976565454544</v>
      </c>
      <c r="F187" s="381" t="s">
        <v>114</v>
      </c>
      <c r="G187" s="383">
        <v>0</v>
      </c>
      <c r="H187" s="365" t="s">
        <v>106</v>
      </c>
      <c r="I187" s="383">
        <v>58.666666666666664</v>
      </c>
      <c r="J187" s="367"/>
      <c r="K187" s="158">
        <f t="shared" si="70"/>
        <v>4321.1643232121214</v>
      </c>
    </row>
    <row r="188" spans="3:13" ht="13.5" thickBot="1">
      <c r="C188" s="380"/>
      <c r="D188" s="382"/>
      <c r="E188" s="384"/>
      <c r="F188" s="382"/>
      <c r="G188" s="384"/>
      <c r="H188" s="366" t="s">
        <v>109</v>
      </c>
      <c r="I188" s="384">
        <v>0</v>
      </c>
      <c r="J188" s="367"/>
      <c r="K188" s="158">
        <f t="shared" si="70"/>
        <v>0</v>
      </c>
    </row>
    <row r="189" spans="3:13" ht="13.5" thickBot="1">
      <c r="C189" s="377" t="s">
        <v>115</v>
      </c>
      <c r="D189" s="377"/>
      <c r="E189" s="377"/>
      <c r="F189" s="377"/>
      <c r="G189" s="377"/>
      <c r="H189" s="377"/>
      <c r="I189" s="377"/>
      <c r="J189" s="377"/>
      <c r="M189" s="158">
        <f>+L185+L192</f>
        <v>189107.39897527947</v>
      </c>
    </row>
    <row r="190" spans="3:13" ht="12.95">
      <c r="C190" s="378" t="s">
        <v>103</v>
      </c>
      <c r="D190" s="365" t="s">
        <v>104</v>
      </c>
      <c r="E190" s="368">
        <v>0</v>
      </c>
      <c r="F190" s="365" t="s">
        <v>105</v>
      </c>
      <c r="G190" s="368">
        <v>0</v>
      </c>
      <c r="H190" s="365" t="s">
        <v>106</v>
      </c>
      <c r="I190" s="368">
        <v>29629.463725230002</v>
      </c>
      <c r="J190" s="367"/>
      <c r="K190" s="158">
        <f t="shared" ref="K190:K195" si="71">E190+G190+I190</f>
        <v>29629.463725230002</v>
      </c>
    </row>
    <row r="191" spans="3:13" ht="12.95">
      <c r="C191" s="379"/>
      <c r="D191" s="365" t="s">
        <v>107</v>
      </c>
      <c r="E191" s="368">
        <v>0</v>
      </c>
      <c r="F191" s="365" t="s">
        <v>108</v>
      </c>
      <c r="G191" s="368">
        <v>11571.887769107141</v>
      </c>
      <c r="H191" s="365" t="s">
        <v>109</v>
      </c>
      <c r="I191" s="368">
        <v>6428.8265383928565</v>
      </c>
      <c r="J191" s="367"/>
      <c r="K191" s="158">
        <f t="shared" si="71"/>
        <v>18000.714307499999</v>
      </c>
    </row>
    <row r="192" spans="3:13" ht="12.95">
      <c r="C192" s="379" t="s">
        <v>110</v>
      </c>
      <c r="D192" s="365" t="s">
        <v>104</v>
      </c>
      <c r="E192" s="368">
        <v>0</v>
      </c>
      <c r="F192" s="365" t="s">
        <v>105</v>
      </c>
      <c r="G192" s="368">
        <v>41.24736</v>
      </c>
      <c r="H192" s="365" t="s">
        <v>106</v>
      </c>
      <c r="I192" s="368">
        <v>2909.27</v>
      </c>
      <c r="J192" s="367"/>
      <c r="K192" s="158">
        <f t="shared" si="71"/>
        <v>2950.5173599999998</v>
      </c>
      <c r="L192" s="158">
        <f>SUM(K190:K195)</f>
        <v>52594.368041447946</v>
      </c>
    </row>
    <row r="193" spans="3:11" ht="12.95">
      <c r="C193" s="379"/>
      <c r="D193" s="365" t="s">
        <v>107</v>
      </c>
      <c r="E193" s="368">
        <v>0</v>
      </c>
      <c r="F193" s="365" t="s">
        <v>108</v>
      </c>
      <c r="G193" s="368">
        <v>0</v>
      </c>
      <c r="H193" s="365" t="s">
        <v>109</v>
      </c>
      <c r="I193" s="368">
        <v>0</v>
      </c>
      <c r="J193" s="367"/>
      <c r="K193" s="158">
        <f t="shared" si="71"/>
        <v>0</v>
      </c>
    </row>
    <row r="194" spans="3:11">
      <c r="C194" s="379" t="s">
        <v>112</v>
      </c>
      <c r="D194" s="381" t="s">
        <v>113</v>
      </c>
      <c r="E194" s="383">
        <v>0</v>
      </c>
      <c r="F194" s="383" t="s">
        <v>116</v>
      </c>
      <c r="G194" s="383">
        <v>2010.8593153846155</v>
      </c>
      <c r="H194" s="383" t="s">
        <v>106</v>
      </c>
      <c r="I194" s="383">
        <v>2.8133333333333339</v>
      </c>
      <c r="J194" s="381"/>
      <c r="K194" s="158">
        <f t="shared" si="71"/>
        <v>2013.6726487179487</v>
      </c>
    </row>
    <row r="195" spans="3:11" ht="10.5" thickBot="1">
      <c r="C195" s="380"/>
      <c r="D195" s="382"/>
      <c r="E195" s="384"/>
      <c r="F195" s="384"/>
      <c r="G195" s="384"/>
      <c r="H195" s="384" t="s">
        <v>109</v>
      </c>
      <c r="I195" s="384">
        <v>0</v>
      </c>
      <c r="J195" s="382"/>
      <c r="K195" s="158">
        <f t="shared" si="71"/>
        <v>0</v>
      </c>
    </row>
  </sheetData>
  <sheetProtection selectLockedCells="1" selectUnlockedCells="1"/>
  <mergeCells count="75">
    <mergeCell ref="P4:P8"/>
    <mergeCell ref="P9:P11"/>
    <mergeCell ref="C145:C146"/>
    <mergeCell ref="C148:C149"/>
    <mergeCell ref="C150:C151"/>
    <mergeCell ref="H150:H151"/>
    <mergeCell ref="H146:I146"/>
    <mergeCell ref="D145:J145"/>
    <mergeCell ref="D146:E146"/>
    <mergeCell ref="F146:G146"/>
    <mergeCell ref="G159:G160"/>
    <mergeCell ref="C147:J147"/>
    <mergeCell ref="C154:J154"/>
    <mergeCell ref="C152:C153"/>
    <mergeCell ref="D152:D153"/>
    <mergeCell ref="F152:F153"/>
    <mergeCell ref="C155:C156"/>
    <mergeCell ref="J159:J160"/>
    <mergeCell ref="C157:C158"/>
    <mergeCell ref="C159:C160"/>
    <mergeCell ref="D159:D160"/>
    <mergeCell ref="F159:F160"/>
    <mergeCell ref="E152:E153"/>
    <mergeCell ref="G152:G153"/>
    <mergeCell ref="E159:E160"/>
    <mergeCell ref="C163:C164"/>
    <mergeCell ref="D163:J163"/>
    <mergeCell ref="D164:E164"/>
    <mergeCell ref="F164:G164"/>
    <mergeCell ref="H164:I164"/>
    <mergeCell ref="C165:J165"/>
    <mergeCell ref="C166:C167"/>
    <mergeCell ref="C168:C169"/>
    <mergeCell ref="H168:H169"/>
    <mergeCell ref="C170:C171"/>
    <mergeCell ref="D170:D171"/>
    <mergeCell ref="E170:E171"/>
    <mergeCell ref="F170:F171"/>
    <mergeCell ref="G170:G171"/>
    <mergeCell ref="C172:J172"/>
    <mergeCell ref="C173:C174"/>
    <mergeCell ref="C175:C176"/>
    <mergeCell ref="C177:C178"/>
    <mergeCell ref="D177:D178"/>
    <mergeCell ref="E177:E178"/>
    <mergeCell ref="F177:F178"/>
    <mergeCell ref="G177:G178"/>
    <mergeCell ref="H177:H178"/>
    <mergeCell ref="J177:J178"/>
    <mergeCell ref="C180:C181"/>
    <mergeCell ref="D180:J180"/>
    <mergeCell ref="D181:E181"/>
    <mergeCell ref="F181:G181"/>
    <mergeCell ref="H181:I181"/>
    <mergeCell ref="C182:J182"/>
    <mergeCell ref="C183:C184"/>
    <mergeCell ref="C185:C186"/>
    <mergeCell ref="H185:H186"/>
    <mergeCell ref="C187:C188"/>
    <mergeCell ref="D187:D188"/>
    <mergeCell ref="E187:E188"/>
    <mergeCell ref="F187:F188"/>
    <mergeCell ref="G187:G188"/>
    <mergeCell ref="I187:I188"/>
    <mergeCell ref="C189:J189"/>
    <mergeCell ref="C190:C191"/>
    <mergeCell ref="C192:C193"/>
    <mergeCell ref="C194:C195"/>
    <mergeCell ref="D194:D195"/>
    <mergeCell ref="E194:E195"/>
    <mergeCell ref="F194:F195"/>
    <mergeCell ref="G194:G195"/>
    <mergeCell ref="H194:H195"/>
    <mergeCell ref="I194:I195"/>
    <mergeCell ref="J194:J195"/>
  </mergeCells>
  <pageMargins left="0.7" right="0.7" top="0.75" bottom="0.75" header="0.3" footer="0.3"/>
  <pageSetup paperSize="9" orientation="portrait"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55"/>
  <sheetViews>
    <sheetView zoomScale="75" zoomScaleNormal="75" workbookViewId="0">
      <selection activeCell="Y47" sqref="Y47"/>
    </sheetView>
  </sheetViews>
  <sheetFormatPr defaultRowHeight="12.6"/>
  <sheetData>
    <row r="1" spans="1:1">
      <c r="A1" t="s">
        <v>123</v>
      </c>
    </row>
    <row r="55" spans="20:20">
      <c r="T55" t="s">
        <v>124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D22"/>
  <sheetViews>
    <sheetView zoomScale="82" zoomScaleNormal="82" workbookViewId="0">
      <selection activeCell="I9" sqref="I9"/>
    </sheetView>
  </sheetViews>
  <sheetFormatPr defaultColWidth="8.85546875" defaultRowHeight="27" customHeight="1"/>
  <cols>
    <col min="1" max="1" width="25.140625" style="17" customWidth="1"/>
    <col min="2" max="2" width="11.42578125" style="17" customWidth="1"/>
    <col min="3" max="3" width="8.28515625" style="17" customWidth="1"/>
    <col min="4" max="4" width="133" style="17" customWidth="1"/>
    <col min="5" max="16384" width="8.85546875" style="17"/>
  </cols>
  <sheetData>
    <row r="1" spans="1:4" ht="27" customHeight="1" thickBot="1">
      <c r="A1" s="17" t="s">
        <v>125</v>
      </c>
    </row>
    <row r="2" spans="1:4" ht="27" customHeight="1" thickBot="1">
      <c r="A2" s="84" t="s">
        <v>126</v>
      </c>
      <c r="B2" s="85" t="s">
        <v>127</v>
      </c>
      <c r="C2" s="93" t="s">
        <v>128</v>
      </c>
      <c r="D2" s="85" t="s">
        <v>129</v>
      </c>
    </row>
    <row r="3" spans="1:4" ht="27" customHeight="1">
      <c r="A3" s="394" t="s">
        <v>130</v>
      </c>
      <c r="B3" s="261">
        <v>635433</v>
      </c>
      <c r="C3" s="262">
        <v>64782</v>
      </c>
      <c r="D3" s="86" t="s">
        <v>131</v>
      </c>
    </row>
    <row r="4" spans="1:4" ht="27" customHeight="1">
      <c r="A4" s="395"/>
      <c r="B4" s="263"/>
      <c r="C4" s="264"/>
      <c r="D4" s="86" t="s">
        <v>132</v>
      </c>
    </row>
    <row r="5" spans="1:4" ht="27" customHeight="1" thickBot="1">
      <c r="A5" s="395"/>
      <c r="B5" s="263"/>
      <c r="C5" s="265"/>
      <c r="D5" s="86" t="s">
        <v>133</v>
      </c>
    </row>
    <row r="6" spans="1:4" ht="27" customHeight="1">
      <c r="A6" s="394" t="s">
        <v>134</v>
      </c>
      <c r="B6" s="261">
        <v>634938</v>
      </c>
      <c r="C6" s="262">
        <v>48002</v>
      </c>
      <c r="D6" s="87" t="s">
        <v>135</v>
      </c>
    </row>
    <row r="7" spans="1:4" ht="27" customHeight="1">
      <c r="A7" s="395"/>
      <c r="B7" s="263"/>
      <c r="C7" s="264"/>
      <c r="D7" s="87" t="s">
        <v>136</v>
      </c>
    </row>
    <row r="8" spans="1:4" ht="27" customHeight="1">
      <c r="A8" s="395"/>
      <c r="B8" s="263"/>
      <c r="C8" s="264"/>
      <c r="D8" s="87" t="s">
        <v>137</v>
      </c>
    </row>
    <row r="9" spans="1:4" ht="27" customHeight="1" thickBot="1">
      <c r="A9" s="395"/>
      <c r="B9" s="263"/>
      <c r="C9" s="265"/>
      <c r="D9" s="87" t="s">
        <v>138</v>
      </c>
    </row>
    <row r="10" spans="1:4" ht="35.450000000000003" customHeight="1" thickBot="1">
      <c r="A10" s="88" t="s">
        <v>139</v>
      </c>
      <c r="B10" s="266">
        <v>637460</v>
      </c>
      <c r="C10" s="267">
        <f>+B10/11</f>
        <v>57950.909090909088</v>
      </c>
      <c r="D10" s="89" t="s">
        <v>140</v>
      </c>
    </row>
    <row r="11" spans="1:4" ht="27" customHeight="1">
      <c r="A11" s="391" t="s">
        <v>141</v>
      </c>
      <c r="B11" s="261">
        <v>51884</v>
      </c>
      <c r="C11" s="262">
        <v>3193</v>
      </c>
      <c r="D11" s="86" t="s">
        <v>142</v>
      </c>
    </row>
    <row r="12" spans="1:4" ht="27" customHeight="1">
      <c r="A12" s="392"/>
      <c r="B12" s="263"/>
      <c r="C12" s="264"/>
      <c r="D12" s="86" t="s">
        <v>143</v>
      </c>
    </row>
    <row r="13" spans="1:4" ht="27" customHeight="1">
      <c r="A13" s="392"/>
      <c r="B13" s="263"/>
      <c r="C13" s="264"/>
      <c r="D13" s="87" t="s">
        <v>144</v>
      </c>
    </row>
    <row r="14" spans="1:4" ht="27" customHeight="1" thickBot="1">
      <c r="A14" s="396"/>
      <c r="B14" s="268"/>
      <c r="C14" s="265"/>
      <c r="D14" s="90" t="s">
        <v>145</v>
      </c>
    </row>
    <row r="15" spans="1:4" ht="27" customHeight="1" thickBot="1">
      <c r="A15" s="88" t="s">
        <v>146</v>
      </c>
      <c r="B15" s="269">
        <v>2289</v>
      </c>
      <c r="C15" s="270">
        <v>114</v>
      </c>
      <c r="D15" s="92" t="s">
        <v>147</v>
      </c>
    </row>
    <row r="16" spans="1:4" ht="27" customHeight="1">
      <c r="A16" s="391" t="s">
        <v>148</v>
      </c>
      <c r="B16" s="271">
        <v>10660</v>
      </c>
      <c r="C16" s="272">
        <v>1506</v>
      </c>
      <c r="D16" s="86" t="s">
        <v>149</v>
      </c>
    </row>
    <row r="17" spans="1:4" ht="27" customHeight="1">
      <c r="A17" s="392"/>
      <c r="B17" s="273"/>
      <c r="C17" s="272"/>
      <c r="D17" s="86" t="s">
        <v>150</v>
      </c>
    </row>
    <row r="18" spans="1:4" ht="27" customHeight="1">
      <c r="A18" s="392"/>
      <c r="B18" s="273"/>
      <c r="C18" s="272"/>
      <c r="D18" s="86" t="s">
        <v>151</v>
      </c>
    </row>
    <row r="19" spans="1:4" ht="27" customHeight="1">
      <c r="A19" s="392"/>
      <c r="B19" s="273"/>
      <c r="C19" s="272"/>
      <c r="D19" s="86" t="s">
        <v>152</v>
      </c>
    </row>
    <row r="20" spans="1:4" ht="27" customHeight="1">
      <c r="A20" s="393"/>
      <c r="B20" s="274"/>
      <c r="C20" s="275"/>
      <c r="D20" s="91" t="s">
        <v>153</v>
      </c>
    </row>
    <row r="21" spans="1:4" ht="27" customHeight="1">
      <c r="A21" s="148" t="s">
        <v>154</v>
      </c>
      <c r="B21" s="276">
        <v>163070</v>
      </c>
      <c r="C21" s="277">
        <f>5408</f>
        <v>5408</v>
      </c>
      <c r="D21" s="151"/>
    </row>
    <row r="22" spans="1:4" ht="27" customHeight="1">
      <c r="A22" s="60"/>
      <c r="B22" s="278">
        <f>SUM(B3:B21)</f>
        <v>2135734</v>
      </c>
      <c r="C22" s="279"/>
    </row>
  </sheetData>
  <mergeCells count="4">
    <mergeCell ref="A16:A20"/>
    <mergeCell ref="A6:A9"/>
    <mergeCell ref="A11:A14"/>
    <mergeCell ref="A3:A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Z22"/>
  <sheetViews>
    <sheetView workbookViewId="0">
      <selection activeCell="H28" sqref="H28"/>
    </sheetView>
  </sheetViews>
  <sheetFormatPr defaultColWidth="8.85546875" defaultRowHeight="11.45"/>
  <cols>
    <col min="1" max="1" width="18.28515625" style="12" customWidth="1"/>
    <col min="2" max="2" width="8.85546875" style="12"/>
    <col min="3" max="3" width="35.5703125" style="12" customWidth="1"/>
    <col min="4" max="6" width="8.85546875" style="12"/>
    <col min="7" max="7" width="32" style="12" customWidth="1"/>
    <col min="8" max="16384" width="8.85546875" style="12"/>
  </cols>
  <sheetData>
    <row r="1" spans="1:26" ht="12.95">
      <c r="A1" s="94" t="s">
        <v>155</v>
      </c>
      <c r="P1" s="12" t="s">
        <v>156</v>
      </c>
    </row>
    <row r="2" spans="1:26" ht="12">
      <c r="B2" s="403" t="s">
        <v>157</v>
      </c>
      <c r="C2" s="403"/>
      <c r="D2" s="403"/>
      <c r="E2" s="403"/>
      <c r="F2" s="403" t="s">
        <v>158</v>
      </c>
      <c r="G2" s="403"/>
      <c r="H2" s="403"/>
      <c r="I2" s="403"/>
      <c r="P2" s="12" t="s">
        <v>159</v>
      </c>
      <c r="Q2" s="12" t="s">
        <v>160</v>
      </c>
      <c r="R2" s="12" t="s">
        <v>161</v>
      </c>
      <c r="S2" s="12" t="s">
        <v>162</v>
      </c>
      <c r="T2" s="12" t="s">
        <v>163</v>
      </c>
      <c r="V2" s="12" t="s">
        <v>164</v>
      </c>
      <c r="W2" s="12" t="s">
        <v>165</v>
      </c>
      <c r="X2" s="12" t="s">
        <v>166</v>
      </c>
      <c r="Y2" s="12" t="s">
        <v>167</v>
      </c>
      <c r="Z2" s="12" t="s">
        <v>168</v>
      </c>
    </row>
    <row r="3" spans="1:26" ht="12">
      <c r="B3" s="403" t="s">
        <v>169</v>
      </c>
      <c r="C3" s="403"/>
      <c r="D3" s="95" t="s">
        <v>159</v>
      </c>
      <c r="E3" s="95" t="s">
        <v>170</v>
      </c>
      <c r="F3" s="403" t="s">
        <v>169</v>
      </c>
      <c r="G3" s="403"/>
      <c r="H3" s="95" t="s">
        <v>36</v>
      </c>
      <c r="I3" s="95" t="s">
        <v>170</v>
      </c>
      <c r="M3" s="12" t="s">
        <v>171</v>
      </c>
      <c r="N3" s="12" t="s">
        <v>172</v>
      </c>
    </row>
    <row r="4" spans="1:26" ht="88.9" customHeight="1">
      <c r="A4" s="397" t="s">
        <v>173</v>
      </c>
      <c r="B4" s="96">
        <v>1</v>
      </c>
      <c r="C4" s="97" t="s">
        <v>174</v>
      </c>
      <c r="D4" s="98">
        <f>+P4</f>
        <v>0.7</v>
      </c>
      <c r="E4" s="99">
        <v>107.93597499999998</v>
      </c>
      <c r="F4" s="96" t="s">
        <v>175</v>
      </c>
      <c r="G4" s="100" t="s">
        <v>176</v>
      </c>
      <c r="H4" s="96">
        <f>+V4</f>
        <v>5.0000000000000001E-3</v>
      </c>
      <c r="I4" s="101">
        <v>10.939154285714286</v>
      </c>
      <c r="K4" s="397" t="s">
        <v>173</v>
      </c>
      <c r="L4" s="96" t="s">
        <v>177</v>
      </c>
      <c r="M4" s="123">
        <f>+E4</f>
        <v>107.93597499999998</v>
      </c>
      <c r="N4" s="358">
        <f>+I4</f>
        <v>10.939154285714286</v>
      </c>
      <c r="P4" s="373">
        <v>0.7</v>
      </c>
      <c r="Q4" s="12">
        <f>+P4*1.1</f>
        <v>0.77</v>
      </c>
      <c r="R4" s="12">
        <f>+P4*1.25</f>
        <v>0.875</v>
      </c>
      <c r="S4" s="12">
        <f>+P4*0.9</f>
        <v>0.63</v>
      </c>
      <c r="T4" s="12">
        <f>+P4*0.75</f>
        <v>0.52499999999999991</v>
      </c>
      <c r="V4" s="12">
        <v>5.0000000000000001E-3</v>
      </c>
      <c r="W4" s="12">
        <f>+V4*1.1</f>
        <v>5.5000000000000005E-3</v>
      </c>
      <c r="X4" s="12">
        <f>+V4*1.25</f>
        <v>6.2500000000000003E-3</v>
      </c>
      <c r="Y4" s="12">
        <f>+V4*0.9</f>
        <v>4.5000000000000005E-3</v>
      </c>
      <c r="Z4" s="12">
        <f>+V4*0.75</f>
        <v>3.7499999999999999E-3</v>
      </c>
    </row>
    <row r="5" spans="1:26" ht="24">
      <c r="A5" s="398"/>
      <c r="B5" s="96">
        <v>2</v>
      </c>
      <c r="C5" s="97" t="s">
        <v>178</v>
      </c>
      <c r="D5" s="98">
        <f t="shared" ref="D5:D19" si="0">+P5</f>
        <v>0.35</v>
      </c>
      <c r="E5" s="99">
        <v>53.967987499999992</v>
      </c>
      <c r="F5" s="96" t="s">
        <v>179</v>
      </c>
      <c r="G5" s="100" t="s">
        <v>180</v>
      </c>
      <c r="H5" s="96">
        <f t="shared" ref="H5:H19" si="1">+V5</f>
        <v>8.9999999999999993E-3</v>
      </c>
      <c r="I5" s="101">
        <v>19.690477714285716</v>
      </c>
      <c r="K5" s="398"/>
      <c r="L5" s="96" t="s">
        <v>181</v>
      </c>
      <c r="M5" s="123">
        <f t="shared" ref="M5:M19" si="2">+E5</f>
        <v>53.967987499999992</v>
      </c>
      <c r="N5" s="358">
        <f t="shared" ref="N5:N19" si="3">+I5</f>
        <v>19.690477714285716</v>
      </c>
      <c r="P5" s="12">
        <v>0.35</v>
      </c>
      <c r="Q5" s="12">
        <f t="shared" ref="Q5:Q19" si="4">+P5*1.1</f>
        <v>0.38500000000000001</v>
      </c>
      <c r="R5" s="12">
        <f t="shared" ref="R5:R19" si="5">+P5*1.25</f>
        <v>0.4375</v>
      </c>
      <c r="S5" s="12">
        <f t="shared" ref="S5:S19" si="6">+P5*0.9</f>
        <v>0.315</v>
      </c>
      <c r="T5" s="12">
        <f t="shared" ref="T5:T19" si="7">+P5*0.75</f>
        <v>0.26249999999999996</v>
      </c>
      <c r="V5" s="12">
        <v>8.9999999999999993E-3</v>
      </c>
      <c r="W5" s="12">
        <f t="shared" ref="W5:W19" si="8">+V5*1.1</f>
        <v>9.9000000000000008E-3</v>
      </c>
      <c r="X5" s="12">
        <f t="shared" ref="X5:X19" si="9">+V5*1.25</f>
        <v>1.125E-2</v>
      </c>
      <c r="Y5" s="12">
        <f t="shared" ref="Y5:Y19" si="10">+V5*0.9</f>
        <v>8.0999999999999996E-3</v>
      </c>
      <c r="Z5" s="12">
        <f t="shared" ref="Z5:Z19" si="11">+V5*0.75</f>
        <v>6.7499999999999991E-3</v>
      </c>
    </row>
    <row r="6" spans="1:26" ht="60">
      <c r="A6" s="399"/>
      <c r="B6" s="102">
        <v>3</v>
      </c>
      <c r="C6" s="103" t="s">
        <v>182</v>
      </c>
      <c r="D6" s="98">
        <f t="shared" si="0"/>
        <v>0.25</v>
      </c>
      <c r="E6" s="104">
        <v>38.548562499999989</v>
      </c>
      <c r="F6" s="102" t="s">
        <v>183</v>
      </c>
      <c r="G6" s="100" t="s">
        <v>184</v>
      </c>
      <c r="H6" s="96">
        <f t="shared" si="1"/>
        <v>6.4999999999999997E-3</v>
      </c>
      <c r="I6" s="105">
        <v>14.220900571428574</v>
      </c>
      <c r="K6" s="399"/>
      <c r="L6" s="102" t="s">
        <v>185</v>
      </c>
      <c r="M6" s="123">
        <f t="shared" si="2"/>
        <v>38.548562499999989</v>
      </c>
      <c r="N6" s="358">
        <f t="shared" si="3"/>
        <v>14.220900571428574</v>
      </c>
      <c r="P6" s="12">
        <v>0.25</v>
      </c>
      <c r="Q6" s="12">
        <f t="shared" si="4"/>
        <v>0.27500000000000002</v>
      </c>
      <c r="R6" s="12">
        <f t="shared" si="5"/>
        <v>0.3125</v>
      </c>
      <c r="S6" s="12">
        <f t="shared" si="6"/>
        <v>0.22500000000000001</v>
      </c>
      <c r="T6" s="12">
        <f t="shared" si="7"/>
        <v>0.1875</v>
      </c>
      <c r="V6" s="12">
        <v>6.4999999999999997E-3</v>
      </c>
      <c r="W6" s="12">
        <f t="shared" si="8"/>
        <v>7.1500000000000001E-3</v>
      </c>
      <c r="X6" s="12">
        <f t="shared" si="9"/>
        <v>8.1250000000000003E-3</v>
      </c>
      <c r="Y6" s="12">
        <f t="shared" si="10"/>
        <v>5.8500000000000002E-3</v>
      </c>
      <c r="Z6" s="12">
        <f t="shared" si="11"/>
        <v>4.875E-3</v>
      </c>
    </row>
    <row r="7" spans="1:26" ht="12">
      <c r="A7" s="397" t="s">
        <v>186</v>
      </c>
      <c r="B7" s="96">
        <v>1</v>
      </c>
      <c r="C7" s="106" t="s">
        <v>187</v>
      </c>
      <c r="D7" s="98">
        <f t="shared" si="0"/>
        <v>0.5</v>
      </c>
      <c r="E7" s="99">
        <v>77.097124999999991</v>
      </c>
      <c r="F7" s="96" t="s">
        <v>175</v>
      </c>
      <c r="G7" s="107" t="s">
        <v>188</v>
      </c>
      <c r="H7" s="96">
        <f t="shared" si="1"/>
        <v>0.01</v>
      </c>
      <c r="I7" s="101">
        <v>21.878308571428573</v>
      </c>
      <c r="K7" s="397" t="s">
        <v>186</v>
      </c>
      <c r="L7" s="96" t="s">
        <v>189</v>
      </c>
      <c r="M7" s="123">
        <f t="shared" si="2"/>
        <v>77.097124999999991</v>
      </c>
      <c r="N7" s="358">
        <f t="shared" si="3"/>
        <v>21.878308571428573</v>
      </c>
      <c r="P7" s="12">
        <v>0.5</v>
      </c>
      <c r="Q7" s="12">
        <f t="shared" si="4"/>
        <v>0.55000000000000004</v>
      </c>
      <c r="R7" s="12">
        <f t="shared" si="5"/>
        <v>0.625</v>
      </c>
      <c r="S7" s="12">
        <f t="shared" si="6"/>
        <v>0.45</v>
      </c>
      <c r="T7" s="12">
        <f t="shared" si="7"/>
        <v>0.375</v>
      </c>
      <c r="V7" s="12">
        <v>0.01</v>
      </c>
      <c r="W7" s="12">
        <f t="shared" si="8"/>
        <v>1.1000000000000001E-2</v>
      </c>
      <c r="X7" s="12">
        <f t="shared" si="9"/>
        <v>1.2500000000000001E-2</v>
      </c>
      <c r="Y7" s="12">
        <f t="shared" si="10"/>
        <v>9.0000000000000011E-3</v>
      </c>
      <c r="Z7" s="12">
        <f t="shared" si="11"/>
        <v>7.4999999999999997E-3</v>
      </c>
    </row>
    <row r="8" spans="1:26" ht="12">
      <c r="A8" s="398"/>
      <c r="B8" s="96">
        <v>2</v>
      </c>
      <c r="C8" s="106" t="s">
        <v>190</v>
      </c>
      <c r="D8" s="98">
        <f t="shared" si="0"/>
        <v>0.4</v>
      </c>
      <c r="E8" s="99">
        <v>61.677700000000002</v>
      </c>
      <c r="F8" s="96" t="s">
        <v>179</v>
      </c>
      <c r="G8" s="108" t="s">
        <v>191</v>
      </c>
      <c r="H8" s="96">
        <f t="shared" si="1"/>
        <v>7.4999999999999997E-3</v>
      </c>
      <c r="I8" s="109">
        <v>16.408731428571432</v>
      </c>
      <c r="K8" s="398"/>
      <c r="L8" s="96" t="s">
        <v>192</v>
      </c>
      <c r="M8" s="123">
        <f t="shared" si="2"/>
        <v>61.677700000000002</v>
      </c>
      <c r="N8" s="358">
        <f t="shared" si="3"/>
        <v>16.408731428571432</v>
      </c>
      <c r="P8" s="12">
        <v>0.4</v>
      </c>
      <c r="Q8" s="12">
        <f t="shared" si="4"/>
        <v>0.44000000000000006</v>
      </c>
      <c r="R8" s="12">
        <f t="shared" si="5"/>
        <v>0.5</v>
      </c>
      <c r="S8" s="12">
        <f t="shared" si="6"/>
        <v>0.36000000000000004</v>
      </c>
      <c r="T8" s="12">
        <f t="shared" si="7"/>
        <v>0.30000000000000004</v>
      </c>
      <c r="V8" s="12">
        <v>7.4999999999999997E-3</v>
      </c>
      <c r="W8" s="12">
        <f t="shared" si="8"/>
        <v>8.2500000000000004E-3</v>
      </c>
      <c r="X8" s="12">
        <f t="shared" si="9"/>
        <v>9.3749999999999997E-3</v>
      </c>
      <c r="Y8" s="12">
        <f t="shared" si="10"/>
        <v>6.7499999999999999E-3</v>
      </c>
      <c r="Z8" s="12">
        <f t="shared" si="11"/>
        <v>5.6249999999999998E-3</v>
      </c>
    </row>
    <row r="9" spans="1:26" ht="12">
      <c r="A9" s="398"/>
      <c r="B9" s="96">
        <v>3</v>
      </c>
      <c r="C9" s="106" t="s">
        <v>193</v>
      </c>
      <c r="D9" s="98">
        <f t="shared" si="0"/>
        <v>0.4</v>
      </c>
      <c r="E9" s="110">
        <v>61.677699999999987</v>
      </c>
      <c r="F9" s="111"/>
      <c r="G9" s="112"/>
      <c r="H9" s="96">
        <f t="shared" si="1"/>
        <v>0</v>
      </c>
      <c r="I9" s="113"/>
      <c r="K9" s="398"/>
      <c r="L9" s="96" t="s">
        <v>194</v>
      </c>
      <c r="M9" s="123">
        <f t="shared" si="2"/>
        <v>61.677699999999987</v>
      </c>
      <c r="N9" s="358">
        <f>+N7</f>
        <v>21.878308571428573</v>
      </c>
      <c r="P9" s="12">
        <v>0.4</v>
      </c>
      <c r="Q9" s="12">
        <f t="shared" si="4"/>
        <v>0.44000000000000006</v>
      </c>
      <c r="R9" s="12">
        <f t="shared" si="5"/>
        <v>0.5</v>
      </c>
      <c r="S9" s="12">
        <f t="shared" si="6"/>
        <v>0.36000000000000004</v>
      </c>
      <c r="T9" s="12">
        <f t="shared" si="7"/>
        <v>0.30000000000000004</v>
      </c>
      <c r="W9" s="12">
        <f t="shared" si="8"/>
        <v>0</v>
      </c>
      <c r="X9" s="12">
        <f t="shared" si="9"/>
        <v>0</v>
      </c>
      <c r="Y9" s="12">
        <f t="shared" si="10"/>
        <v>0</v>
      </c>
      <c r="Z9" s="12">
        <f t="shared" si="11"/>
        <v>0</v>
      </c>
    </row>
    <row r="10" spans="1:26" ht="12">
      <c r="A10" s="399"/>
      <c r="B10" s="102">
        <v>4</v>
      </c>
      <c r="C10" s="103" t="s">
        <v>195</v>
      </c>
      <c r="D10" s="98">
        <f t="shared" si="0"/>
        <v>0.3</v>
      </c>
      <c r="E10" s="104">
        <v>46.25827499999999</v>
      </c>
      <c r="F10" s="114"/>
      <c r="G10" s="114"/>
      <c r="H10" s="96">
        <f t="shared" si="1"/>
        <v>0</v>
      </c>
      <c r="I10" s="105"/>
      <c r="K10" s="399"/>
      <c r="L10" s="102" t="s">
        <v>196</v>
      </c>
      <c r="M10" s="123">
        <f t="shared" si="2"/>
        <v>46.25827499999999</v>
      </c>
      <c r="N10" s="358">
        <f>+N8</f>
        <v>16.408731428571432</v>
      </c>
      <c r="P10" s="12">
        <v>0.3</v>
      </c>
      <c r="Q10" s="12">
        <f t="shared" si="4"/>
        <v>0.33</v>
      </c>
      <c r="R10" s="12">
        <f t="shared" si="5"/>
        <v>0.375</v>
      </c>
      <c r="S10" s="12">
        <f t="shared" si="6"/>
        <v>0.27</v>
      </c>
      <c r="T10" s="12">
        <f t="shared" si="7"/>
        <v>0.22499999999999998</v>
      </c>
      <c r="W10" s="12">
        <f t="shared" si="8"/>
        <v>0</v>
      </c>
      <c r="X10" s="12">
        <f t="shared" si="9"/>
        <v>0</v>
      </c>
      <c r="Y10" s="12">
        <f t="shared" si="10"/>
        <v>0</v>
      </c>
      <c r="Z10" s="12">
        <f t="shared" si="11"/>
        <v>0</v>
      </c>
    </row>
    <row r="11" spans="1:26" ht="12">
      <c r="A11" s="115" t="s">
        <v>197</v>
      </c>
      <c r="B11" s="96"/>
      <c r="C11" s="116" t="s">
        <v>198</v>
      </c>
      <c r="D11" s="98">
        <f t="shared" si="0"/>
        <v>0.35</v>
      </c>
      <c r="E11" s="117">
        <v>53.967987499999992</v>
      </c>
      <c r="F11" s="116"/>
      <c r="G11" s="107" t="s">
        <v>199</v>
      </c>
      <c r="H11" s="96">
        <f t="shared" si="1"/>
        <v>5.0000000000000001E-3</v>
      </c>
      <c r="I11" s="118">
        <v>10.939154285714288</v>
      </c>
      <c r="K11" s="115" t="s">
        <v>139</v>
      </c>
      <c r="L11" s="96"/>
      <c r="M11" s="123">
        <f t="shared" si="2"/>
        <v>53.967987499999992</v>
      </c>
      <c r="N11" s="358">
        <f t="shared" si="3"/>
        <v>10.939154285714288</v>
      </c>
      <c r="P11" s="12">
        <v>0.35</v>
      </c>
      <c r="Q11" s="12">
        <f t="shared" si="4"/>
        <v>0.38500000000000001</v>
      </c>
      <c r="R11" s="12">
        <f t="shared" si="5"/>
        <v>0.4375</v>
      </c>
      <c r="S11" s="12">
        <f t="shared" si="6"/>
        <v>0.315</v>
      </c>
      <c r="T11" s="12">
        <f t="shared" si="7"/>
        <v>0.26249999999999996</v>
      </c>
      <c r="V11" s="12">
        <v>5.0000000000000001E-3</v>
      </c>
      <c r="W11" s="12">
        <f t="shared" si="8"/>
        <v>5.5000000000000005E-3</v>
      </c>
      <c r="X11" s="12">
        <f t="shared" si="9"/>
        <v>6.2500000000000003E-3</v>
      </c>
      <c r="Y11" s="12">
        <f t="shared" si="10"/>
        <v>4.5000000000000005E-3</v>
      </c>
      <c r="Z11" s="12">
        <f t="shared" si="11"/>
        <v>3.7499999999999999E-3</v>
      </c>
    </row>
    <row r="12" spans="1:26" ht="12" customHeight="1">
      <c r="A12" s="400" t="s">
        <v>200</v>
      </c>
      <c r="B12" s="96">
        <v>1</v>
      </c>
      <c r="C12" s="107" t="s">
        <v>201</v>
      </c>
      <c r="D12" s="98">
        <f t="shared" si="0"/>
        <v>0.4</v>
      </c>
      <c r="E12" s="119">
        <v>61.677700000000002</v>
      </c>
      <c r="F12" s="96" t="s">
        <v>175</v>
      </c>
      <c r="G12" s="107" t="s">
        <v>202</v>
      </c>
      <c r="H12" s="96">
        <f t="shared" si="1"/>
        <v>6.0000000000000001E-3</v>
      </c>
      <c r="I12" s="120">
        <v>13.126985142857146</v>
      </c>
      <c r="K12" s="400" t="s">
        <v>203</v>
      </c>
      <c r="L12" s="96" t="s">
        <v>204</v>
      </c>
      <c r="M12" s="123">
        <f t="shared" si="2"/>
        <v>61.677700000000002</v>
      </c>
      <c r="N12" s="358">
        <f t="shared" si="3"/>
        <v>13.126985142857146</v>
      </c>
      <c r="P12" s="12">
        <v>0.4</v>
      </c>
      <c r="Q12" s="12">
        <f t="shared" si="4"/>
        <v>0.44000000000000006</v>
      </c>
      <c r="R12" s="12">
        <f t="shared" si="5"/>
        <v>0.5</v>
      </c>
      <c r="S12" s="12">
        <f t="shared" si="6"/>
        <v>0.36000000000000004</v>
      </c>
      <c r="T12" s="12">
        <f t="shared" si="7"/>
        <v>0.30000000000000004</v>
      </c>
      <c r="V12" s="12">
        <v>6.0000000000000001E-3</v>
      </c>
      <c r="W12" s="12">
        <f t="shared" si="8"/>
        <v>6.6000000000000008E-3</v>
      </c>
      <c r="X12" s="12">
        <f t="shared" si="9"/>
        <v>7.4999999999999997E-3</v>
      </c>
      <c r="Y12" s="12">
        <f t="shared" si="10"/>
        <v>5.4000000000000003E-3</v>
      </c>
      <c r="Z12" s="12">
        <f t="shared" si="11"/>
        <v>4.5000000000000005E-3</v>
      </c>
    </row>
    <row r="13" spans="1:26" ht="12">
      <c r="A13" s="401"/>
      <c r="B13" s="96">
        <v>2</v>
      </c>
      <c r="C13" s="121" t="s">
        <v>205</v>
      </c>
      <c r="D13" s="98">
        <f t="shared" si="0"/>
        <v>0.6</v>
      </c>
      <c r="E13" s="119">
        <v>92.516549999999967</v>
      </c>
      <c r="F13" s="96" t="s">
        <v>179</v>
      </c>
      <c r="G13" s="107" t="s">
        <v>206</v>
      </c>
      <c r="H13" s="96">
        <f t="shared" si="1"/>
        <v>8.0000000000000002E-3</v>
      </c>
      <c r="I13" s="120">
        <v>17.50264685714286</v>
      </c>
      <c r="K13" s="401"/>
      <c r="L13" s="96" t="s">
        <v>207</v>
      </c>
      <c r="M13" s="123">
        <f t="shared" si="2"/>
        <v>92.516549999999967</v>
      </c>
      <c r="N13" s="358">
        <f t="shared" si="3"/>
        <v>17.50264685714286</v>
      </c>
      <c r="P13" s="12">
        <v>0.6</v>
      </c>
      <c r="Q13" s="12">
        <f t="shared" si="4"/>
        <v>0.66</v>
      </c>
      <c r="R13" s="12">
        <f t="shared" si="5"/>
        <v>0.75</v>
      </c>
      <c r="S13" s="12">
        <f t="shared" si="6"/>
        <v>0.54</v>
      </c>
      <c r="T13" s="12">
        <f t="shared" si="7"/>
        <v>0.44999999999999996</v>
      </c>
      <c r="V13" s="12">
        <v>8.0000000000000002E-3</v>
      </c>
      <c r="W13" s="12">
        <f t="shared" si="8"/>
        <v>8.8000000000000005E-3</v>
      </c>
      <c r="X13" s="12">
        <f t="shared" si="9"/>
        <v>0.01</v>
      </c>
      <c r="Y13" s="12">
        <f t="shared" si="10"/>
        <v>7.2000000000000007E-3</v>
      </c>
      <c r="Z13" s="12">
        <f t="shared" si="11"/>
        <v>6.0000000000000001E-3</v>
      </c>
    </row>
    <row r="14" spans="1:26" ht="12">
      <c r="A14" s="122"/>
      <c r="B14" s="111"/>
      <c r="D14" s="98">
        <f t="shared" si="0"/>
        <v>0</v>
      </c>
      <c r="E14" s="123"/>
      <c r="F14" s="96" t="s">
        <v>183</v>
      </c>
      <c r="G14" s="107" t="s">
        <v>208</v>
      </c>
      <c r="H14" s="96">
        <f t="shared" si="1"/>
        <v>6.4999999999999997E-3</v>
      </c>
      <c r="I14" s="120">
        <v>14.220900571428572</v>
      </c>
      <c r="K14" s="401"/>
      <c r="L14" s="111" t="s">
        <v>209</v>
      </c>
      <c r="M14" s="123">
        <f>+E12</f>
        <v>61.677700000000002</v>
      </c>
      <c r="N14" s="358">
        <f t="shared" si="3"/>
        <v>14.220900571428572</v>
      </c>
      <c r="Q14" s="12">
        <f t="shared" si="4"/>
        <v>0</v>
      </c>
      <c r="R14" s="12">
        <f t="shared" si="5"/>
        <v>0</v>
      </c>
      <c r="S14" s="12">
        <f t="shared" si="6"/>
        <v>0</v>
      </c>
      <c r="T14" s="12">
        <f t="shared" si="7"/>
        <v>0</v>
      </c>
      <c r="V14" s="12">
        <v>6.4999999999999997E-3</v>
      </c>
      <c r="W14" s="12">
        <f t="shared" si="8"/>
        <v>7.1500000000000001E-3</v>
      </c>
      <c r="X14" s="12">
        <f t="shared" si="9"/>
        <v>8.1250000000000003E-3</v>
      </c>
      <c r="Y14" s="12">
        <f t="shared" si="10"/>
        <v>5.8500000000000002E-3</v>
      </c>
      <c r="Z14" s="12">
        <f t="shared" si="11"/>
        <v>4.875E-3</v>
      </c>
    </row>
    <row r="15" spans="1:26" ht="12">
      <c r="A15" s="124"/>
      <c r="B15" s="102"/>
      <c r="C15" s="125"/>
      <c r="D15" s="98">
        <f t="shared" si="0"/>
        <v>0</v>
      </c>
      <c r="E15" s="126"/>
      <c r="F15" s="102" t="s">
        <v>210</v>
      </c>
      <c r="G15" s="127" t="s">
        <v>211</v>
      </c>
      <c r="H15" s="96">
        <f t="shared" si="1"/>
        <v>8.9999999999999993E-3</v>
      </c>
      <c r="I15" s="128">
        <v>19.690477714285713</v>
      </c>
      <c r="K15" s="402"/>
      <c r="L15" s="102" t="s">
        <v>212</v>
      </c>
      <c r="M15" s="123">
        <f>+E13</f>
        <v>92.516549999999967</v>
      </c>
      <c r="N15" s="358">
        <f t="shared" si="3"/>
        <v>19.690477714285713</v>
      </c>
      <c r="Q15" s="12">
        <f t="shared" si="4"/>
        <v>0</v>
      </c>
      <c r="R15" s="12">
        <f t="shared" si="5"/>
        <v>0</v>
      </c>
      <c r="S15" s="12">
        <f t="shared" si="6"/>
        <v>0</v>
      </c>
      <c r="T15" s="12">
        <f t="shared" si="7"/>
        <v>0</v>
      </c>
      <c r="V15" s="12">
        <v>8.9999999999999993E-3</v>
      </c>
      <c r="W15" s="12">
        <f t="shared" si="8"/>
        <v>9.9000000000000008E-3</v>
      </c>
      <c r="X15" s="12">
        <f t="shared" si="9"/>
        <v>1.125E-2</v>
      </c>
      <c r="Y15" s="12">
        <f t="shared" si="10"/>
        <v>8.0999999999999996E-3</v>
      </c>
      <c r="Z15" s="12">
        <f t="shared" si="11"/>
        <v>6.7499999999999991E-3</v>
      </c>
    </row>
    <row r="16" spans="1:26" ht="23.1">
      <c r="A16" s="129" t="s">
        <v>213</v>
      </c>
      <c r="B16" s="96"/>
      <c r="C16" s="107" t="s">
        <v>214</v>
      </c>
      <c r="D16" s="98">
        <f t="shared" si="0"/>
        <v>0.1</v>
      </c>
      <c r="E16" s="119">
        <v>15.419425000000002</v>
      </c>
      <c r="F16" s="96"/>
      <c r="G16" s="107" t="s">
        <v>215</v>
      </c>
      <c r="H16" s="96">
        <f t="shared" si="1"/>
        <v>0.01</v>
      </c>
      <c r="I16" s="120">
        <v>21.878308571428573</v>
      </c>
      <c r="K16" s="129" t="s">
        <v>213</v>
      </c>
      <c r="L16" s="96"/>
      <c r="M16" s="123">
        <f t="shared" si="2"/>
        <v>15.419425000000002</v>
      </c>
      <c r="N16" s="358">
        <f t="shared" si="3"/>
        <v>21.878308571428573</v>
      </c>
      <c r="P16" s="12">
        <v>0.1</v>
      </c>
      <c r="Q16" s="12">
        <f t="shared" si="4"/>
        <v>0.11000000000000001</v>
      </c>
      <c r="R16" s="12">
        <f t="shared" si="5"/>
        <v>0.125</v>
      </c>
      <c r="S16" s="12">
        <f t="shared" si="6"/>
        <v>9.0000000000000011E-2</v>
      </c>
      <c r="T16" s="12">
        <f t="shared" si="7"/>
        <v>7.5000000000000011E-2</v>
      </c>
      <c r="V16" s="12">
        <v>0.01</v>
      </c>
      <c r="W16" s="12">
        <f t="shared" si="8"/>
        <v>1.1000000000000001E-2</v>
      </c>
      <c r="X16" s="12">
        <f t="shared" si="9"/>
        <v>1.2500000000000001E-2</v>
      </c>
      <c r="Y16" s="12">
        <f t="shared" si="10"/>
        <v>9.0000000000000011E-3</v>
      </c>
      <c r="Z16" s="12">
        <f t="shared" si="11"/>
        <v>7.4999999999999997E-3</v>
      </c>
    </row>
    <row r="17" spans="1:26" ht="12">
      <c r="A17" s="397" t="s">
        <v>216</v>
      </c>
      <c r="B17" s="96">
        <v>1</v>
      </c>
      <c r="C17" s="107" t="s">
        <v>217</v>
      </c>
      <c r="D17" s="98">
        <f t="shared" si="0"/>
        <v>0.3</v>
      </c>
      <c r="E17" s="130">
        <v>46.25827499999999</v>
      </c>
      <c r="F17" s="96" t="s">
        <v>175</v>
      </c>
      <c r="G17" s="107" t="s">
        <v>218</v>
      </c>
      <c r="H17" s="96">
        <f t="shared" si="1"/>
        <v>8.9999999999999993E-3</v>
      </c>
      <c r="I17" s="131">
        <v>19.690477714285716</v>
      </c>
      <c r="K17" s="397" t="s">
        <v>216</v>
      </c>
      <c r="L17" s="96" t="s">
        <v>219</v>
      </c>
      <c r="M17" s="123">
        <f t="shared" si="2"/>
        <v>46.25827499999999</v>
      </c>
      <c r="N17" s="358">
        <f t="shared" si="3"/>
        <v>19.690477714285716</v>
      </c>
      <c r="P17" s="12">
        <v>0.3</v>
      </c>
      <c r="Q17" s="12">
        <f t="shared" si="4"/>
        <v>0.33</v>
      </c>
      <c r="R17" s="12">
        <f t="shared" si="5"/>
        <v>0.375</v>
      </c>
      <c r="S17" s="12">
        <f t="shared" si="6"/>
        <v>0.27</v>
      </c>
      <c r="T17" s="12">
        <f t="shared" si="7"/>
        <v>0.22499999999999998</v>
      </c>
      <c r="V17" s="12">
        <v>8.9999999999999993E-3</v>
      </c>
      <c r="W17" s="12">
        <f t="shared" si="8"/>
        <v>9.9000000000000008E-3</v>
      </c>
      <c r="X17" s="12">
        <f t="shared" si="9"/>
        <v>1.125E-2</v>
      </c>
      <c r="Y17" s="12">
        <f t="shared" si="10"/>
        <v>8.0999999999999996E-3</v>
      </c>
      <c r="Z17" s="12">
        <f t="shared" si="11"/>
        <v>6.7499999999999991E-3</v>
      </c>
    </row>
    <row r="18" spans="1:26" ht="12">
      <c r="A18" s="398"/>
      <c r="B18" s="132">
        <v>2</v>
      </c>
      <c r="C18" s="107" t="s">
        <v>220</v>
      </c>
      <c r="D18" s="98">
        <f t="shared" si="0"/>
        <v>0.2</v>
      </c>
      <c r="E18" s="130">
        <v>30.838849999999994</v>
      </c>
      <c r="F18" s="96" t="s">
        <v>179</v>
      </c>
      <c r="G18" s="107" t="s">
        <v>218</v>
      </c>
      <c r="H18" s="96">
        <f t="shared" si="1"/>
        <v>8.0000000000000002E-3</v>
      </c>
      <c r="I18" s="133">
        <v>17.50264685714286</v>
      </c>
      <c r="K18" s="398"/>
      <c r="L18" s="132" t="s">
        <v>221</v>
      </c>
      <c r="M18" s="123">
        <f t="shared" si="2"/>
        <v>30.838849999999994</v>
      </c>
      <c r="N18" s="358">
        <f t="shared" si="3"/>
        <v>17.50264685714286</v>
      </c>
      <c r="P18" s="12">
        <v>0.2</v>
      </c>
      <c r="Q18" s="12">
        <f t="shared" si="4"/>
        <v>0.22000000000000003</v>
      </c>
      <c r="R18" s="12">
        <f t="shared" si="5"/>
        <v>0.25</v>
      </c>
      <c r="S18" s="12">
        <f t="shared" si="6"/>
        <v>0.18000000000000002</v>
      </c>
      <c r="T18" s="12">
        <f t="shared" si="7"/>
        <v>0.15000000000000002</v>
      </c>
      <c r="V18" s="12">
        <v>8.0000000000000002E-3</v>
      </c>
      <c r="W18" s="12">
        <f t="shared" si="8"/>
        <v>8.8000000000000005E-3</v>
      </c>
      <c r="X18" s="12">
        <f t="shared" si="9"/>
        <v>0.01</v>
      </c>
      <c r="Y18" s="12">
        <f t="shared" si="10"/>
        <v>7.2000000000000007E-3</v>
      </c>
      <c r="Z18" s="12">
        <f t="shared" si="11"/>
        <v>6.0000000000000001E-3</v>
      </c>
    </row>
    <row r="19" spans="1:26" ht="12">
      <c r="A19" s="399"/>
      <c r="B19" s="102">
        <v>3</v>
      </c>
      <c r="C19" s="94" t="s">
        <v>222</v>
      </c>
      <c r="D19" s="98">
        <f t="shared" si="0"/>
        <v>0.1</v>
      </c>
      <c r="E19" s="126">
        <v>15.419424999999997</v>
      </c>
      <c r="F19" s="125"/>
      <c r="G19" s="125"/>
      <c r="H19" s="96">
        <f t="shared" si="1"/>
        <v>0</v>
      </c>
      <c r="I19" s="128"/>
      <c r="K19" s="399"/>
      <c r="L19" s="102" t="s">
        <v>223</v>
      </c>
      <c r="M19" s="123">
        <f t="shared" si="2"/>
        <v>15.419424999999997</v>
      </c>
      <c r="N19" s="358">
        <f t="shared" si="3"/>
        <v>0</v>
      </c>
      <c r="P19" s="12">
        <v>0.1</v>
      </c>
      <c r="Q19" s="12">
        <f t="shared" si="4"/>
        <v>0.11000000000000001</v>
      </c>
      <c r="R19" s="12">
        <f t="shared" si="5"/>
        <v>0.125</v>
      </c>
      <c r="S19" s="12">
        <f t="shared" si="6"/>
        <v>9.0000000000000011E-2</v>
      </c>
      <c r="T19" s="12">
        <f t="shared" si="7"/>
        <v>7.5000000000000011E-2</v>
      </c>
      <c r="W19" s="12">
        <f t="shared" si="8"/>
        <v>0</v>
      </c>
      <c r="X19" s="12">
        <f t="shared" si="9"/>
        <v>0</v>
      </c>
      <c r="Y19" s="12">
        <f t="shared" si="10"/>
        <v>0</v>
      </c>
      <c r="Z19" s="12">
        <f t="shared" si="11"/>
        <v>0</v>
      </c>
    </row>
    <row r="22" spans="1:26">
      <c r="C22" s="344" t="s">
        <v>224</v>
      </c>
      <c r="D22" s="344"/>
      <c r="E22" s="344">
        <f>+(E17+E18)/2</f>
        <v>38.548562499999989</v>
      </c>
      <c r="F22" s="344"/>
      <c r="G22" s="344"/>
      <c r="H22" s="344"/>
      <c r="I22" s="344">
        <f>+(I17+I18)/2</f>
        <v>18.596562285714288</v>
      </c>
    </row>
  </sheetData>
  <mergeCells count="12">
    <mergeCell ref="B2:E2"/>
    <mergeCell ref="F2:I2"/>
    <mergeCell ref="B3:C3"/>
    <mergeCell ref="F3:G3"/>
    <mergeCell ref="A4:A6"/>
    <mergeCell ref="K4:K6"/>
    <mergeCell ref="K7:K10"/>
    <mergeCell ref="K17:K19"/>
    <mergeCell ref="K12:K15"/>
    <mergeCell ref="A12:A13"/>
    <mergeCell ref="A17:A19"/>
    <mergeCell ref="A7:A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B26"/>
  <sheetViews>
    <sheetView workbookViewId="0">
      <selection activeCell="D24" sqref="D24"/>
    </sheetView>
  </sheetViews>
  <sheetFormatPr defaultRowHeight="12.6"/>
  <cols>
    <col min="1" max="1" width="8.85546875" style="5"/>
    <col min="4" max="4" width="8.85546875" style="10"/>
    <col min="14" max="16" width="10.7109375" bestFit="1" customWidth="1"/>
    <col min="21" max="21" width="13.85546875" customWidth="1"/>
  </cols>
  <sheetData>
    <row r="1" spans="1:28" ht="13.15" customHeight="1">
      <c r="A1" s="159"/>
      <c r="B1" s="160"/>
      <c r="C1" s="160"/>
      <c r="D1" s="161"/>
      <c r="E1" s="160"/>
      <c r="F1" s="160"/>
      <c r="G1" s="160"/>
      <c r="H1" s="160"/>
      <c r="I1" s="160"/>
      <c r="J1" s="160"/>
      <c r="K1" s="160"/>
      <c r="L1" s="160"/>
      <c r="M1" s="160"/>
      <c r="N1" s="160"/>
      <c r="O1" s="160"/>
      <c r="P1" s="160"/>
      <c r="Q1" s="160"/>
      <c r="R1" s="160"/>
      <c r="S1" s="160"/>
      <c r="T1" s="160"/>
      <c r="U1" s="160"/>
      <c r="V1" s="160"/>
      <c r="W1" s="160"/>
      <c r="X1" s="160"/>
      <c r="Y1" s="160"/>
      <c r="Z1" s="160"/>
      <c r="AA1" s="160"/>
      <c r="AB1" s="160"/>
    </row>
    <row r="2" spans="1:28">
      <c r="A2" s="404" t="s">
        <v>225</v>
      </c>
      <c r="B2" s="404"/>
      <c r="C2" s="404"/>
      <c r="D2" s="404"/>
      <c r="E2" s="404"/>
      <c r="F2" s="404"/>
      <c r="G2" s="404"/>
      <c r="H2" s="404"/>
      <c r="I2" s="404"/>
      <c r="J2" s="404"/>
      <c r="K2" s="162"/>
      <c r="L2" s="162"/>
      <c r="M2" s="163"/>
      <c r="N2" s="405" t="s">
        <v>226</v>
      </c>
      <c r="O2" s="405"/>
      <c r="P2" s="405"/>
      <c r="Q2" s="405" t="s">
        <v>227</v>
      </c>
      <c r="R2" s="405"/>
      <c r="S2" s="405"/>
      <c r="T2" s="405" t="s">
        <v>228</v>
      </c>
      <c r="U2" s="405"/>
      <c r="V2" s="405"/>
      <c r="W2" s="405" t="s">
        <v>229</v>
      </c>
      <c r="X2" s="405"/>
      <c r="Y2" s="405"/>
      <c r="Z2" s="405" t="s">
        <v>230</v>
      </c>
      <c r="AA2" s="405"/>
      <c r="AB2" s="405"/>
    </row>
    <row r="3" spans="1:28">
      <c r="A3" s="164"/>
      <c r="B3" s="163"/>
      <c r="C3" s="163"/>
      <c r="D3" s="165"/>
      <c r="E3" s="163"/>
      <c r="F3" s="404" t="s">
        <v>231</v>
      </c>
      <c r="G3" s="404"/>
      <c r="H3" s="404"/>
      <c r="I3" s="163"/>
      <c r="J3" s="404" t="s">
        <v>232</v>
      </c>
      <c r="K3" s="404"/>
      <c r="L3" s="404"/>
      <c r="M3" s="163"/>
      <c r="N3" s="405"/>
      <c r="O3" s="405"/>
      <c r="P3" s="405"/>
      <c r="Q3" s="405"/>
      <c r="R3" s="405"/>
      <c r="S3" s="405"/>
      <c r="T3" s="405"/>
      <c r="U3" s="405"/>
      <c r="V3" s="405"/>
      <c r="W3" s="405"/>
      <c r="X3" s="405"/>
      <c r="Y3" s="405"/>
      <c r="Z3" s="405"/>
      <c r="AA3" s="405"/>
      <c r="AB3" s="405"/>
    </row>
    <row r="4" spans="1:28" s="155" customFormat="1" ht="42">
      <c r="A4" s="166" t="s">
        <v>233</v>
      </c>
      <c r="B4" s="166" t="s">
        <v>234</v>
      </c>
      <c r="C4" s="166" t="s">
        <v>235</v>
      </c>
      <c r="D4" s="167" t="s">
        <v>236</v>
      </c>
      <c r="E4" s="166" t="s">
        <v>237</v>
      </c>
      <c r="F4" s="166" t="s">
        <v>238</v>
      </c>
      <c r="G4" s="166" t="s">
        <v>239</v>
      </c>
      <c r="H4" s="166" t="s">
        <v>240</v>
      </c>
      <c r="I4" s="166" t="s">
        <v>159</v>
      </c>
      <c r="J4" s="168" t="s">
        <v>238</v>
      </c>
      <c r="K4" s="168" t="s">
        <v>239</v>
      </c>
      <c r="L4" s="168" t="s">
        <v>240</v>
      </c>
      <c r="M4" s="169" t="s">
        <v>241</v>
      </c>
      <c r="N4" s="168" t="s">
        <v>238</v>
      </c>
      <c r="O4" s="168" t="s">
        <v>239</v>
      </c>
      <c r="P4" s="168" t="s">
        <v>240</v>
      </c>
      <c r="Q4" s="168" t="s">
        <v>238</v>
      </c>
      <c r="R4" s="168" t="s">
        <v>239</v>
      </c>
      <c r="S4" s="168" t="s">
        <v>240</v>
      </c>
      <c r="T4" s="168" t="s">
        <v>238</v>
      </c>
      <c r="U4" s="168" t="s">
        <v>239</v>
      </c>
      <c r="V4" s="168" t="s">
        <v>240</v>
      </c>
      <c r="W4" s="168" t="s">
        <v>238</v>
      </c>
      <c r="X4" s="168" t="s">
        <v>239</v>
      </c>
      <c r="Y4" s="168" t="s">
        <v>240</v>
      </c>
      <c r="Z4" s="168" t="s">
        <v>238</v>
      </c>
      <c r="AA4" s="168" t="s">
        <v>239</v>
      </c>
      <c r="AB4" s="168" t="s">
        <v>240</v>
      </c>
    </row>
    <row r="5" spans="1:28">
      <c r="A5" s="416" t="s">
        <v>173</v>
      </c>
      <c r="B5" s="183">
        <v>1</v>
      </c>
      <c r="C5" s="417">
        <f>+'Containment Systems'!B3</f>
        <v>635433</v>
      </c>
      <c r="D5" s="280">
        <v>0.2</v>
      </c>
      <c r="E5" s="187">
        <f>+C5*D5</f>
        <v>127086.6</v>
      </c>
      <c r="F5" s="406">
        <v>0.17499999999999999</v>
      </c>
      <c r="G5" s="406">
        <v>0.25</v>
      </c>
      <c r="H5" s="406">
        <v>0.32500000000000001</v>
      </c>
      <c r="I5" s="284">
        <f>+'Containment MCF EF'!D4</f>
        <v>0.7</v>
      </c>
      <c r="J5" s="285">
        <f t="shared" ref="J5:J18" si="0">+F$5*$I5</f>
        <v>0.12249999999999998</v>
      </c>
      <c r="K5" s="285">
        <f>+G$5*$I5</f>
        <v>0.17499999999999999</v>
      </c>
      <c r="L5" s="285">
        <f t="shared" ref="L5:L18" si="1">+H$5*$I5</f>
        <v>0.22749999999999998</v>
      </c>
      <c r="M5" s="409">
        <v>0.7</v>
      </c>
      <c r="N5" s="290">
        <f>+C$21*$E5</f>
        <v>2634759.3912</v>
      </c>
      <c r="O5" s="290">
        <f>+D$21*$E5</f>
        <v>3293449.2390000001</v>
      </c>
      <c r="P5" s="290">
        <f t="shared" ref="P5:P18" si="2">+E$21*$E5</f>
        <v>3952139.0868000002</v>
      </c>
      <c r="Q5" s="291">
        <f>+J5*$M$5*N5</f>
        <v>225930.61779539994</v>
      </c>
      <c r="R5" s="290">
        <f>+K5*$M$5*O5</f>
        <v>403447.53177749994</v>
      </c>
      <c r="S5" s="290">
        <f t="shared" ref="S5:S18" si="3">+L5*$M$5*P5</f>
        <v>629378.14957289991</v>
      </c>
      <c r="T5" s="290">
        <f>+Q5*'Basic Data Input'!$K$26</f>
        <v>7681641.0050435979</v>
      </c>
      <c r="U5" s="290">
        <f>+R5*'Basic Data Input'!$K$26</f>
        <v>13717216.080434998</v>
      </c>
      <c r="V5" s="290">
        <f>+S5*'Basic Data Input'!$K$26</f>
        <v>21398857.085478596</v>
      </c>
      <c r="W5" s="285">
        <f>+Q5/$E5</f>
        <v>1.7777689999999995</v>
      </c>
      <c r="X5" s="285">
        <f t="shared" ref="X5:X18" si="4">+R5/$E5</f>
        <v>3.1745874999999995</v>
      </c>
      <c r="Y5" s="285">
        <f t="shared" ref="Y5:Y18" si="5">+S5/$E5</f>
        <v>4.9523564999999987</v>
      </c>
      <c r="Z5" s="285">
        <f t="shared" ref="Z5:Z18" si="6">+T5/$E5</f>
        <v>60.444145999999982</v>
      </c>
      <c r="AA5" s="285">
        <f t="shared" ref="AA5:AA18" si="7">+U5/$E5</f>
        <v>107.93597499999998</v>
      </c>
      <c r="AB5" s="285">
        <f t="shared" ref="AB5:AB18" si="8">+V5/$E5</f>
        <v>168.38012099999997</v>
      </c>
    </row>
    <row r="6" spans="1:28">
      <c r="A6" s="412"/>
      <c r="B6" s="184">
        <v>2</v>
      </c>
      <c r="C6" s="413"/>
      <c r="D6" s="281">
        <v>0.4</v>
      </c>
      <c r="E6" s="188">
        <f>+C5*D6</f>
        <v>254173.2</v>
      </c>
      <c r="F6" s="407"/>
      <c r="G6" s="407"/>
      <c r="H6" s="407"/>
      <c r="I6" s="286">
        <f>+'Containment MCF EF'!D5</f>
        <v>0.35</v>
      </c>
      <c r="J6" s="287">
        <f t="shared" si="0"/>
        <v>6.1249999999999992E-2</v>
      </c>
      <c r="K6" s="287">
        <f t="shared" ref="K6:K18" si="9">+G$5*$I6</f>
        <v>8.7499999999999994E-2</v>
      </c>
      <c r="L6" s="287">
        <f t="shared" si="1"/>
        <v>0.11374999999999999</v>
      </c>
      <c r="M6" s="410"/>
      <c r="N6" s="292">
        <f>+C$21*$E6</f>
        <v>5269518.7823999999</v>
      </c>
      <c r="O6" s="292">
        <f t="shared" ref="O6:O18" si="10">+D$21*$E6</f>
        <v>6586898.4780000001</v>
      </c>
      <c r="P6" s="292">
        <f t="shared" si="2"/>
        <v>7904278.1736000003</v>
      </c>
      <c r="Q6" s="292">
        <f>+J6*$M$5*N6</f>
        <v>225930.61779539994</v>
      </c>
      <c r="R6" s="292">
        <f t="shared" ref="R6:R18" si="11">+K6*$M$5*O6</f>
        <v>403447.53177749994</v>
      </c>
      <c r="S6" s="292">
        <f t="shared" si="3"/>
        <v>629378.14957289991</v>
      </c>
      <c r="T6" s="292">
        <f>+Q6*'Basic Data Input'!$K$26</f>
        <v>7681641.0050435979</v>
      </c>
      <c r="U6" s="292">
        <f>+R6*'Basic Data Input'!$K$26</f>
        <v>13717216.080434998</v>
      </c>
      <c r="V6" s="292">
        <f>+S6*'Basic Data Input'!$K$26</f>
        <v>21398857.085478596</v>
      </c>
      <c r="W6" s="287">
        <f t="shared" ref="W6:W18" si="12">+Q6/$E6</f>
        <v>0.88888449999999974</v>
      </c>
      <c r="X6" s="287">
        <f t="shared" si="4"/>
        <v>1.5872937499999997</v>
      </c>
      <c r="Y6" s="287">
        <f t="shared" si="5"/>
        <v>2.4761782499999994</v>
      </c>
      <c r="Z6" s="287">
        <f t="shared" si="6"/>
        <v>30.222072999999991</v>
      </c>
      <c r="AA6" s="287">
        <f t="shared" si="7"/>
        <v>53.967987499999992</v>
      </c>
      <c r="AB6" s="287">
        <f t="shared" si="8"/>
        <v>84.190060499999987</v>
      </c>
    </row>
    <row r="7" spans="1:28">
      <c r="A7" s="412"/>
      <c r="B7" s="184">
        <v>3</v>
      </c>
      <c r="C7" s="413"/>
      <c r="D7" s="281">
        <v>0.4</v>
      </c>
      <c r="E7" s="188">
        <f>+C5*D7</f>
        <v>254173.2</v>
      </c>
      <c r="F7" s="407"/>
      <c r="G7" s="407"/>
      <c r="H7" s="407"/>
      <c r="I7" s="286">
        <f>+'Containment MCF EF'!D6</f>
        <v>0.25</v>
      </c>
      <c r="J7" s="287">
        <f t="shared" si="0"/>
        <v>4.3749999999999997E-2</v>
      </c>
      <c r="K7" s="287">
        <f t="shared" si="9"/>
        <v>6.25E-2</v>
      </c>
      <c r="L7" s="287">
        <f t="shared" si="1"/>
        <v>8.1250000000000003E-2</v>
      </c>
      <c r="M7" s="410"/>
      <c r="N7" s="292">
        <f t="shared" ref="N7:N18" si="13">+C$21*$E7</f>
        <v>5269518.7823999999</v>
      </c>
      <c r="O7" s="292">
        <f t="shared" si="10"/>
        <v>6586898.4780000001</v>
      </c>
      <c r="P7" s="292">
        <f t="shared" si="2"/>
        <v>7904278.1736000003</v>
      </c>
      <c r="Q7" s="292">
        <f t="shared" ref="Q7:Q18" si="14">+J7*$M$5*N7</f>
        <v>161379.01271099999</v>
      </c>
      <c r="R7" s="292">
        <f t="shared" si="11"/>
        <v>288176.80841249996</v>
      </c>
      <c r="S7" s="292">
        <f t="shared" si="3"/>
        <v>449555.82112350001</v>
      </c>
      <c r="T7" s="292">
        <f>+Q7*'Basic Data Input'!$K$26</f>
        <v>5486886.432174</v>
      </c>
      <c r="U7" s="292">
        <f>+R7*'Basic Data Input'!$K$26</f>
        <v>9798011.4860249981</v>
      </c>
      <c r="V7" s="292">
        <f>+S7*'Basic Data Input'!$K$26</f>
        <v>15284897.918199001</v>
      </c>
      <c r="W7" s="287">
        <f t="shared" si="12"/>
        <v>0.63491749999999991</v>
      </c>
      <c r="X7" s="287">
        <f t="shared" si="4"/>
        <v>1.1337812499999997</v>
      </c>
      <c r="Y7" s="287">
        <f t="shared" si="5"/>
        <v>1.76869875</v>
      </c>
      <c r="Z7" s="287">
        <f t="shared" si="6"/>
        <v>21.587194999999998</v>
      </c>
      <c r="AA7" s="287">
        <f t="shared" si="7"/>
        <v>38.548562499999989</v>
      </c>
      <c r="AB7" s="287">
        <f t="shared" si="8"/>
        <v>60.135757500000004</v>
      </c>
    </row>
    <row r="8" spans="1:28">
      <c r="A8" s="412" t="s">
        <v>186</v>
      </c>
      <c r="B8" s="184">
        <v>1</v>
      </c>
      <c r="C8" s="413">
        <f>+'Containment Systems'!B6</f>
        <v>634938</v>
      </c>
      <c r="D8" s="281">
        <v>0.25</v>
      </c>
      <c r="E8" s="188">
        <f>+C8*D8</f>
        <v>158734.5</v>
      </c>
      <c r="F8" s="407"/>
      <c r="G8" s="407"/>
      <c r="H8" s="407"/>
      <c r="I8" s="286">
        <f>+'Containment MCF EF'!D7</f>
        <v>0.5</v>
      </c>
      <c r="J8" s="287">
        <f t="shared" si="0"/>
        <v>8.7499999999999994E-2</v>
      </c>
      <c r="K8" s="287">
        <f t="shared" si="9"/>
        <v>0.125</v>
      </c>
      <c r="L8" s="287">
        <f t="shared" si="1"/>
        <v>0.16250000000000001</v>
      </c>
      <c r="M8" s="410"/>
      <c r="N8" s="292">
        <f t="shared" si="13"/>
        <v>3290883.6540000001</v>
      </c>
      <c r="O8" s="292">
        <f t="shared" si="10"/>
        <v>4113604.5674999999</v>
      </c>
      <c r="P8" s="292">
        <f t="shared" si="2"/>
        <v>4936325.4809999997</v>
      </c>
      <c r="Q8" s="292">
        <f t="shared" si="14"/>
        <v>201566.62380749997</v>
      </c>
      <c r="R8" s="292">
        <f t="shared" si="11"/>
        <v>359940.39965624997</v>
      </c>
      <c r="S8" s="292">
        <f t="shared" si="3"/>
        <v>561507.02346374991</v>
      </c>
      <c r="T8" s="292">
        <f>+Q8*'Basic Data Input'!$K$26</f>
        <v>6853265.2094549993</v>
      </c>
      <c r="U8" s="292">
        <f>+R8*'Basic Data Input'!$K$26</f>
        <v>12237973.588312499</v>
      </c>
      <c r="V8" s="292">
        <f>+S8*'Basic Data Input'!$K$26</f>
        <v>19091238.797767498</v>
      </c>
      <c r="W8" s="287">
        <f t="shared" si="12"/>
        <v>1.2698349999999998</v>
      </c>
      <c r="X8" s="287">
        <f t="shared" si="4"/>
        <v>2.2675624999999999</v>
      </c>
      <c r="Y8" s="287">
        <f t="shared" si="5"/>
        <v>3.5373974999999995</v>
      </c>
      <c r="Z8" s="287">
        <f t="shared" si="6"/>
        <v>43.174389999999995</v>
      </c>
      <c r="AA8" s="287">
        <f t="shared" si="7"/>
        <v>77.097124999999991</v>
      </c>
      <c r="AB8" s="287">
        <f t="shared" si="8"/>
        <v>120.27151499999998</v>
      </c>
    </row>
    <row r="9" spans="1:28">
      <c r="A9" s="412"/>
      <c r="B9" s="184">
        <v>2</v>
      </c>
      <c r="C9" s="413"/>
      <c r="D9" s="281">
        <v>0.45</v>
      </c>
      <c r="E9" s="188">
        <f>+C8*D9</f>
        <v>285722.10000000003</v>
      </c>
      <c r="F9" s="407"/>
      <c r="G9" s="407"/>
      <c r="H9" s="407"/>
      <c r="I9" s="286">
        <f>+'Containment MCF EF'!D8</f>
        <v>0.4</v>
      </c>
      <c r="J9" s="287">
        <f t="shared" si="0"/>
        <v>6.9999999999999993E-2</v>
      </c>
      <c r="K9" s="287">
        <f t="shared" si="9"/>
        <v>0.1</v>
      </c>
      <c r="L9" s="287">
        <f t="shared" si="1"/>
        <v>0.13</v>
      </c>
      <c r="M9" s="410"/>
      <c r="N9" s="292">
        <f t="shared" si="13"/>
        <v>5923590.5772000002</v>
      </c>
      <c r="O9" s="292">
        <f t="shared" si="10"/>
        <v>7404488.2215000009</v>
      </c>
      <c r="P9" s="292">
        <f t="shared" si="2"/>
        <v>8885385.8658000007</v>
      </c>
      <c r="Q9" s="292">
        <f t="shared" si="14"/>
        <v>290255.93828279997</v>
      </c>
      <c r="R9" s="292">
        <f t="shared" si="11"/>
        <v>518314.17550499999</v>
      </c>
      <c r="S9" s="292">
        <f t="shared" si="3"/>
        <v>808570.11378780007</v>
      </c>
      <c r="T9" s="292">
        <f>+Q9*'Basic Data Input'!$K$26</f>
        <v>9868701.9016151987</v>
      </c>
      <c r="U9" s="292">
        <f>+R9*'Basic Data Input'!$K$26</f>
        <v>17622681.96717</v>
      </c>
      <c r="V9" s="292">
        <f>+S9*'Basic Data Input'!$K$26</f>
        <v>27491383.868785203</v>
      </c>
      <c r="W9" s="287">
        <f t="shared" si="12"/>
        <v>1.0158679999999998</v>
      </c>
      <c r="X9" s="287">
        <f t="shared" si="4"/>
        <v>1.8140499999999997</v>
      </c>
      <c r="Y9" s="287">
        <f t="shared" si="5"/>
        <v>2.8299179999999997</v>
      </c>
      <c r="Z9" s="287">
        <f t="shared" si="6"/>
        <v>34.539511999999988</v>
      </c>
      <c r="AA9" s="287">
        <f t="shared" si="7"/>
        <v>61.677699999999994</v>
      </c>
      <c r="AB9" s="287">
        <f t="shared" si="8"/>
        <v>96.217212000000004</v>
      </c>
    </row>
    <row r="10" spans="1:28">
      <c r="A10" s="412"/>
      <c r="B10" s="184">
        <v>3</v>
      </c>
      <c r="C10" s="413"/>
      <c r="D10" s="281">
        <v>0.1</v>
      </c>
      <c r="E10" s="188">
        <f>+C8*D10</f>
        <v>63493.8</v>
      </c>
      <c r="F10" s="407"/>
      <c r="G10" s="407"/>
      <c r="H10" s="407"/>
      <c r="I10" s="286">
        <f>+'Containment MCF EF'!D9</f>
        <v>0.4</v>
      </c>
      <c r="J10" s="287">
        <f t="shared" si="0"/>
        <v>6.9999999999999993E-2</v>
      </c>
      <c r="K10" s="287">
        <f t="shared" si="9"/>
        <v>0.1</v>
      </c>
      <c r="L10" s="287">
        <f t="shared" si="1"/>
        <v>0.13</v>
      </c>
      <c r="M10" s="410"/>
      <c r="N10" s="292">
        <f t="shared" si="13"/>
        <v>1316353.4616</v>
      </c>
      <c r="O10" s="292">
        <f t="shared" si="10"/>
        <v>1645441.827</v>
      </c>
      <c r="P10" s="292">
        <f t="shared" si="2"/>
        <v>1974530.1924000001</v>
      </c>
      <c r="Q10" s="292">
        <f t="shared" si="14"/>
        <v>64501.319618399997</v>
      </c>
      <c r="R10" s="292">
        <f t="shared" si="11"/>
        <v>115180.92788999999</v>
      </c>
      <c r="S10" s="292">
        <f t="shared" si="3"/>
        <v>179682.2475084</v>
      </c>
      <c r="T10" s="292">
        <f>+Q10*'Basic Data Input'!$K$26</f>
        <v>2193044.8670255998</v>
      </c>
      <c r="U10" s="292">
        <f>+R10*'Basic Data Input'!$K$26</f>
        <v>3916151.5482599996</v>
      </c>
      <c r="V10" s="292">
        <f>+S10*'Basic Data Input'!$K$26</f>
        <v>6109196.4152856003</v>
      </c>
      <c r="W10" s="287">
        <f t="shared" si="12"/>
        <v>1.015868</v>
      </c>
      <c r="X10" s="287">
        <f t="shared" si="4"/>
        <v>1.8140499999999997</v>
      </c>
      <c r="Y10" s="287">
        <f t="shared" si="5"/>
        <v>2.8299179999999997</v>
      </c>
      <c r="Z10" s="287">
        <f t="shared" si="6"/>
        <v>34.539511999999995</v>
      </c>
      <c r="AA10" s="287">
        <f t="shared" si="7"/>
        <v>61.677699999999994</v>
      </c>
      <c r="AB10" s="287">
        <f t="shared" si="8"/>
        <v>96.217212000000004</v>
      </c>
    </row>
    <row r="11" spans="1:28">
      <c r="A11" s="412"/>
      <c r="B11" s="184">
        <v>4</v>
      </c>
      <c r="C11" s="413"/>
      <c r="D11" s="281">
        <v>0.2</v>
      </c>
      <c r="E11" s="188">
        <f>+C8*D11</f>
        <v>126987.6</v>
      </c>
      <c r="F11" s="407"/>
      <c r="G11" s="407"/>
      <c r="H11" s="407"/>
      <c r="I11" s="286">
        <f>+'Containment MCF EF'!D10</f>
        <v>0.3</v>
      </c>
      <c r="J11" s="287">
        <f t="shared" si="0"/>
        <v>5.2499999999999998E-2</v>
      </c>
      <c r="K11" s="287">
        <f t="shared" si="9"/>
        <v>7.4999999999999997E-2</v>
      </c>
      <c r="L11" s="287">
        <f t="shared" si="1"/>
        <v>9.7500000000000003E-2</v>
      </c>
      <c r="M11" s="410"/>
      <c r="N11" s="292">
        <f t="shared" si="13"/>
        <v>2632706.9232000001</v>
      </c>
      <c r="O11" s="292">
        <f t="shared" si="10"/>
        <v>3290883.6540000001</v>
      </c>
      <c r="P11" s="292">
        <f t="shared" si="2"/>
        <v>3949060.3848000001</v>
      </c>
      <c r="Q11" s="292">
        <f t="shared" si="14"/>
        <v>96751.979427600003</v>
      </c>
      <c r="R11" s="292">
        <f t="shared" si="11"/>
        <v>172771.39183499999</v>
      </c>
      <c r="S11" s="292">
        <f t="shared" si="3"/>
        <v>269523.37126259995</v>
      </c>
      <c r="T11" s="292">
        <f>+Q11*'Basic Data Input'!$K$26</f>
        <v>3289567.3005384002</v>
      </c>
      <c r="U11" s="292">
        <f>+R11*'Basic Data Input'!$K$26</f>
        <v>5874227.3223899994</v>
      </c>
      <c r="V11" s="292">
        <f>+S11*'Basic Data Input'!$K$26</f>
        <v>9163794.6229283977</v>
      </c>
      <c r="W11" s="287">
        <f t="shared" si="12"/>
        <v>0.76190099999999994</v>
      </c>
      <c r="X11" s="287">
        <f t="shared" si="4"/>
        <v>1.3605374999999997</v>
      </c>
      <c r="Y11" s="287">
        <f t="shared" si="5"/>
        <v>2.1224384999999995</v>
      </c>
      <c r="Z11" s="287">
        <f t="shared" si="6"/>
        <v>25.904634000000001</v>
      </c>
      <c r="AA11" s="287">
        <f t="shared" si="7"/>
        <v>46.25827499999999</v>
      </c>
      <c r="AB11" s="287">
        <f t="shared" si="8"/>
        <v>72.162908999999985</v>
      </c>
    </row>
    <row r="12" spans="1:28" ht="20.100000000000001">
      <c r="A12" s="185" t="s">
        <v>197</v>
      </c>
      <c r="B12" s="184"/>
      <c r="C12" s="172">
        <f>+'Containment Systems'!B10</f>
        <v>637460</v>
      </c>
      <c r="D12" s="281">
        <v>1</v>
      </c>
      <c r="E12" s="188">
        <f>+C12*D12</f>
        <v>637460</v>
      </c>
      <c r="F12" s="407"/>
      <c r="G12" s="407"/>
      <c r="H12" s="407"/>
      <c r="I12" s="286">
        <f>+'Containment MCF EF'!D11</f>
        <v>0.35</v>
      </c>
      <c r="J12" s="287">
        <f t="shared" si="0"/>
        <v>6.1249999999999992E-2</v>
      </c>
      <c r="K12" s="287">
        <f t="shared" si="9"/>
        <v>8.7499999999999994E-2</v>
      </c>
      <c r="L12" s="287">
        <f t="shared" si="1"/>
        <v>0.11374999999999999</v>
      </c>
      <c r="M12" s="410"/>
      <c r="N12" s="292">
        <f t="shared" si="13"/>
        <v>13215820.719999999</v>
      </c>
      <c r="O12" s="292">
        <f t="shared" si="10"/>
        <v>16519775.9</v>
      </c>
      <c r="P12" s="292">
        <f t="shared" si="2"/>
        <v>19823731.079999998</v>
      </c>
      <c r="Q12" s="292">
        <f t="shared" si="14"/>
        <v>566628.31336999976</v>
      </c>
      <c r="R12" s="292">
        <f t="shared" si="11"/>
        <v>1011836.2738749998</v>
      </c>
      <c r="S12" s="292">
        <f t="shared" si="3"/>
        <v>1578464.5872449996</v>
      </c>
      <c r="T12" s="292">
        <f>+Q12*'Basic Data Input'!$K$26</f>
        <v>19265362.654579993</v>
      </c>
      <c r="U12" s="292">
        <f>+R12*'Basic Data Input'!$K$26</f>
        <v>34402433.311749995</v>
      </c>
      <c r="V12" s="292">
        <f>+S12*'Basic Data Input'!$K$26</f>
        <v>53667795.966329984</v>
      </c>
      <c r="W12" s="287">
        <f t="shared" si="12"/>
        <v>0.88888449999999963</v>
      </c>
      <c r="X12" s="287">
        <f t="shared" si="4"/>
        <v>1.5872937499999997</v>
      </c>
      <c r="Y12" s="287">
        <f t="shared" si="5"/>
        <v>2.4761782499999994</v>
      </c>
      <c r="Z12" s="287">
        <f t="shared" si="6"/>
        <v>30.222072999999991</v>
      </c>
      <c r="AA12" s="287">
        <f t="shared" si="7"/>
        <v>53.967987499999992</v>
      </c>
      <c r="AB12" s="287">
        <f t="shared" si="8"/>
        <v>84.190060499999973</v>
      </c>
    </row>
    <row r="13" spans="1:28">
      <c r="A13" s="412" t="s">
        <v>242</v>
      </c>
      <c r="B13" s="184">
        <v>1</v>
      </c>
      <c r="C13" s="413">
        <f>+'Containment Systems'!B11</f>
        <v>51884</v>
      </c>
      <c r="D13" s="281">
        <v>0.5</v>
      </c>
      <c r="E13" s="188">
        <f>+C13*D13</f>
        <v>25942</v>
      </c>
      <c r="F13" s="407"/>
      <c r="G13" s="407"/>
      <c r="H13" s="407"/>
      <c r="I13" s="286">
        <f>+'Containment MCF EF'!D12</f>
        <v>0.4</v>
      </c>
      <c r="J13" s="287">
        <f t="shared" si="0"/>
        <v>6.9999999999999993E-2</v>
      </c>
      <c r="K13" s="287">
        <f t="shared" si="9"/>
        <v>0.1</v>
      </c>
      <c r="L13" s="287">
        <f t="shared" si="1"/>
        <v>0.13</v>
      </c>
      <c r="M13" s="410"/>
      <c r="N13" s="292">
        <f t="shared" si="13"/>
        <v>537829.54399999999</v>
      </c>
      <c r="O13" s="292">
        <f t="shared" si="10"/>
        <v>672286.92999999993</v>
      </c>
      <c r="P13" s="292">
        <f t="shared" si="2"/>
        <v>806744.31599999999</v>
      </c>
      <c r="Q13" s="292">
        <f t="shared" si="14"/>
        <v>26353.647655999997</v>
      </c>
      <c r="R13" s="292">
        <f t="shared" si="11"/>
        <v>47060.085099999989</v>
      </c>
      <c r="S13" s="292">
        <f t="shared" si="3"/>
        <v>73413.732755999998</v>
      </c>
      <c r="T13" s="292">
        <f>+Q13*'Basic Data Input'!$K$26</f>
        <v>896024.02030399989</v>
      </c>
      <c r="U13" s="292">
        <f>+R13*'Basic Data Input'!$K$26</f>
        <v>1600042.8933999997</v>
      </c>
      <c r="V13" s="292">
        <f>+S13*'Basic Data Input'!$K$26</f>
        <v>2496066.9137039999</v>
      </c>
      <c r="W13" s="287">
        <f t="shared" si="12"/>
        <v>1.015868</v>
      </c>
      <c r="X13" s="287">
        <f t="shared" si="4"/>
        <v>1.8140499999999995</v>
      </c>
      <c r="Y13" s="287">
        <f t="shared" si="5"/>
        <v>2.8299179999999997</v>
      </c>
      <c r="Z13" s="287">
        <f t="shared" si="6"/>
        <v>34.539511999999995</v>
      </c>
      <c r="AA13" s="287">
        <f t="shared" si="7"/>
        <v>61.677699999999987</v>
      </c>
      <c r="AB13" s="287">
        <f t="shared" si="8"/>
        <v>96.217212000000004</v>
      </c>
    </row>
    <row r="14" spans="1:28" ht="25.15" customHeight="1">
      <c r="A14" s="412"/>
      <c r="B14" s="184">
        <v>2</v>
      </c>
      <c r="C14" s="413"/>
      <c r="D14" s="281">
        <v>0.5</v>
      </c>
      <c r="E14" s="188">
        <f>+C13*D14</f>
        <v>25942</v>
      </c>
      <c r="F14" s="407"/>
      <c r="G14" s="407"/>
      <c r="H14" s="407"/>
      <c r="I14" s="286">
        <f>+'Containment MCF EF'!D13</f>
        <v>0.6</v>
      </c>
      <c r="J14" s="287">
        <f t="shared" si="0"/>
        <v>0.105</v>
      </c>
      <c r="K14" s="287">
        <f t="shared" si="9"/>
        <v>0.15</v>
      </c>
      <c r="L14" s="287">
        <f t="shared" si="1"/>
        <v>0.19500000000000001</v>
      </c>
      <c r="M14" s="410"/>
      <c r="N14" s="292">
        <f t="shared" si="13"/>
        <v>537829.54399999999</v>
      </c>
      <c r="O14" s="292">
        <f t="shared" si="10"/>
        <v>672286.92999999993</v>
      </c>
      <c r="P14" s="292">
        <f t="shared" si="2"/>
        <v>806744.31599999999</v>
      </c>
      <c r="Q14" s="292">
        <f t="shared" si="14"/>
        <v>39530.471483999994</v>
      </c>
      <c r="R14" s="292">
        <f t="shared" si="11"/>
        <v>70590.127649999995</v>
      </c>
      <c r="S14" s="292">
        <f t="shared" si="3"/>
        <v>110120.59913399999</v>
      </c>
      <c r="T14" s="292">
        <f>+Q14*'Basic Data Input'!$K$26</f>
        <v>1344036.0304559998</v>
      </c>
      <c r="U14" s="292">
        <f>+R14*'Basic Data Input'!$K$26</f>
        <v>2400064.3400999997</v>
      </c>
      <c r="V14" s="292">
        <f>+S14*'Basic Data Input'!$K$26</f>
        <v>3744100.3705559997</v>
      </c>
      <c r="W14" s="287">
        <f t="shared" si="12"/>
        <v>1.5238019999999999</v>
      </c>
      <c r="X14" s="287">
        <f t="shared" si="4"/>
        <v>2.7210749999999999</v>
      </c>
      <c r="Y14" s="287">
        <f t="shared" si="5"/>
        <v>4.2448769999999998</v>
      </c>
      <c r="Z14" s="287">
        <f t="shared" si="6"/>
        <v>51.809267999999989</v>
      </c>
      <c r="AA14" s="287">
        <f t="shared" si="7"/>
        <v>92.516549999999981</v>
      </c>
      <c r="AB14" s="287">
        <f t="shared" si="8"/>
        <v>144.325818</v>
      </c>
    </row>
    <row r="15" spans="1:28" ht="20.100000000000001">
      <c r="A15" s="185" t="s">
        <v>213</v>
      </c>
      <c r="B15" s="184"/>
      <c r="C15" s="172">
        <f>+'Containment Systems'!B15</f>
        <v>2289</v>
      </c>
      <c r="D15" s="281">
        <v>1</v>
      </c>
      <c r="E15" s="188">
        <f>+C15*D15</f>
        <v>2289</v>
      </c>
      <c r="F15" s="407"/>
      <c r="G15" s="407"/>
      <c r="H15" s="407"/>
      <c r="I15" s="286">
        <f>+'Containment MCF EF'!D16</f>
        <v>0.1</v>
      </c>
      <c r="J15" s="287">
        <f t="shared" si="0"/>
        <v>1.7499999999999998E-2</v>
      </c>
      <c r="K15" s="287">
        <f t="shared" si="9"/>
        <v>2.5000000000000001E-2</v>
      </c>
      <c r="L15" s="287">
        <f t="shared" si="1"/>
        <v>3.2500000000000001E-2</v>
      </c>
      <c r="M15" s="410"/>
      <c r="N15" s="292">
        <f t="shared" si="13"/>
        <v>47455.547999999995</v>
      </c>
      <c r="O15" s="292">
        <f t="shared" si="10"/>
        <v>59319.434999999998</v>
      </c>
      <c r="P15" s="292">
        <f t="shared" si="2"/>
        <v>71183.322</v>
      </c>
      <c r="Q15" s="292">
        <f t="shared" si="14"/>
        <v>581.3304629999999</v>
      </c>
      <c r="R15" s="292">
        <f t="shared" si="11"/>
        <v>1038.0901124999998</v>
      </c>
      <c r="S15" s="292">
        <f t="shared" si="3"/>
        <v>1619.4205755</v>
      </c>
      <c r="T15" s="292">
        <f>+Q15*'Basic Data Input'!$K$26</f>
        <v>19765.235741999997</v>
      </c>
      <c r="U15" s="292">
        <f>+R15*'Basic Data Input'!$K$26</f>
        <v>35295.06382499999</v>
      </c>
      <c r="V15" s="292">
        <f>+S15*'Basic Data Input'!$K$26</f>
        <v>55060.299567000002</v>
      </c>
      <c r="W15" s="287">
        <f t="shared" si="12"/>
        <v>0.25396699999999994</v>
      </c>
      <c r="X15" s="287">
        <f t="shared" si="4"/>
        <v>0.45351249999999993</v>
      </c>
      <c r="Y15" s="287">
        <f t="shared" si="5"/>
        <v>0.70747950000000004</v>
      </c>
      <c r="Z15" s="287">
        <f t="shared" si="6"/>
        <v>8.6348779999999987</v>
      </c>
      <c r="AA15" s="287">
        <f t="shared" si="7"/>
        <v>15.419424999999995</v>
      </c>
      <c r="AB15" s="287">
        <f t="shared" si="8"/>
        <v>24.054303000000001</v>
      </c>
    </row>
    <row r="16" spans="1:28">
      <c r="A16" s="412" t="s">
        <v>216</v>
      </c>
      <c r="B16" s="184">
        <v>1</v>
      </c>
      <c r="C16" s="413">
        <f>+'Containment Systems'!B16</f>
        <v>10660</v>
      </c>
      <c r="D16" s="281">
        <v>0.33</v>
      </c>
      <c r="E16" s="188">
        <f>+C16*D16</f>
        <v>3517.8</v>
      </c>
      <c r="F16" s="407"/>
      <c r="G16" s="407"/>
      <c r="H16" s="407"/>
      <c r="I16" s="286">
        <f>+'Containment MCF EF'!D17</f>
        <v>0.3</v>
      </c>
      <c r="J16" s="287">
        <f t="shared" si="0"/>
        <v>5.2499999999999998E-2</v>
      </c>
      <c r="K16" s="287">
        <f t="shared" si="9"/>
        <v>7.4999999999999997E-2</v>
      </c>
      <c r="L16" s="287">
        <f t="shared" si="1"/>
        <v>9.7500000000000003E-2</v>
      </c>
      <c r="M16" s="410"/>
      <c r="N16" s="292">
        <f t="shared" si="13"/>
        <v>72931.029599999994</v>
      </c>
      <c r="O16" s="292">
        <f t="shared" si="10"/>
        <v>91163.786999999997</v>
      </c>
      <c r="P16" s="292">
        <f t="shared" si="2"/>
        <v>109396.5444</v>
      </c>
      <c r="Q16" s="292">
        <f t="shared" si="14"/>
        <v>2680.2153377999998</v>
      </c>
      <c r="R16" s="292">
        <f t="shared" si="11"/>
        <v>4786.0988174999993</v>
      </c>
      <c r="S16" s="292">
        <f t="shared" si="3"/>
        <v>7466.3141552999987</v>
      </c>
      <c r="T16" s="292">
        <f>+Q16*'Basic Data Input'!$K$26</f>
        <v>91127.321485199995</v>
      </c>
      <c r="U16" s="292">
        <f>+R16*'Basic Data Input'!$K$26</f>
        <v>162727.35979499997</v>
      </c>
      <c r="V16" s="292">
        <f>+S16*'Basic Data Input'!$K$26</f>
        <v>253854.68128019996</v>
      </c>
      <c r="W16" s="287">
        <f t="shared" si="12"/>
        <v>0.76190099999999994</v>
      </c>
      <c r="X16" s="287">
        <f t="shared" si="4"/>
        <v>1.3605374999999997</v>
      </c>
      <c r="Y16" s="287">
        <f t="shared" si="5"/>
        <v>2.1224384999999995</v>
      </c>
      <c r="Z16" s="287">
        <f t="shared" si="6"/>
        <v>25.904633999999998</v>
      </c>
      <c r="AA16" s="287">
        <f t="shared" si="7"/>
        <v>46.25827499999999</v>
      </c>
      <c r="AB16" s="287">
        <f t="shared" si="8"/>
        <v>72.162908999999985</v>
      </c>
    </row>
    <row r="17" spans="1:28">
      <c r="A17" s="412"/>
      <c r="B17" s="184">
        <v>2</v>
      </c>
      <c r="C17" s="413"/>
      <c r="D17" s="281">
        <v>0.33</v>
      </c>
      <c r="E17" s="188">
        <f>+C16*D17</f>
        <v>3517.8</v>
      </c>
      <c r="F17" s="407"/>
      <c r="G17" s="407"/>
      <c r="H17" s="407"/>
      <c r="I17" s="286">
        <f>+'Containment MCF EF'!D18</f>
        <v>0.2</v>
      </c>
      <c r="J17" s="287">
        <f t="shared" si="0"/>
        <v>3.4999999999999996E-2</v>
      </c>
      <c r="K17" s="287">
        <f t="shared" si="9"/>
        <v>0.05</v>
      </c>
      <c r="L17" s="287">
        <f t="shared" si="1"/>
        <v>6.5000000000000002E-2</v>
      </c>
      <c r="M17" s="410"/>
      <c r="N17" s="292">
        <f t="shared" si="13"/>
        <v>72931.029599999994</v>
      </c>
      <c r="O17" s="292">
        <f t="shared" si="10"/>
        <v>91163.786999999997</v>
      </c>
      <c r="P17" s="292">
        <f t="shared" si="2"/>
        <v>109396.5444</v>
      </c>
      <c r="Q17" s="292">
        <f t="shared" si="14"/>
        <v>1786.8102251999996</v>
      </c>
      <c r="R17" s="292">
        <f t="shared" si="11"/>
        <v>3190.7325449999994</v>
      </c>
      <c r="S17" s="292">
        <f t="shared" si="3"/>
        <v>4977.5427701999997</v>
      </c>
      <c r="T17" s="292">
        <f>+Q17*'Basic Data Input'!$K$26</f>
        <v>60751.547656799987</v>
      </c>
      <c r="U17" s="292">
        <f>+R17*'Basic Data Input'!$K$26</f>
        <v>108484.90652999998</v>
      </c>
      <c r="V17" s="292">
        <f>+S17*'Basic Data Input'!$K$26</f>
        <v>169236.45418679999</v>
      </c>
      <c r="W17" s="287">
        <f t="shared" si="12"/>
        <v>0.50793399999999989</v>
      </c>
      <c r="X17" s="287">
        <f t="shared" si="4"/>
        <v>0.90702499999999975</v>
      </c>
      <c r="Y17" s="287">
        <f t="shared" si="5"/>
        <v>1.4149589999999999</v>
      </c>
      <c r="Z17" s="287">
        <f t="shared" si="6"/>
        <v>17.269755999999994</v>
      </c>
      <c r="AA17" s="287">
        <f t="shared" si="7"/>
        <v>30.838849999999994</v>
      </c>
      <c r="AB17" s="287">
        <f t="shared" si="8"/>
        <v>48.108605999999995</v>
      </c>
    </row>
    <row r="18" spans="1:28">
      <c r="A18" s="414"/>
      <c r="B18" s="186">
        <v>3</v>
      </c>
      <c r="C18" s="415"/>
      <c r="D18" s="282">
        <v>0.34</v>
      </c>
      <c r="E18" s="189">
        <f>+C16*D18</f>
        <v>3624.4</v>
      </c>
      <c r="F18" s="408"/>
      <c r="G18" s="408"/>
      <c r="H18" s="408"/>
      <c r="I18" s="288">
        <f>+'Containment MCF EF'!D19</f>
        <v>0.1</v>
      </c>
      <c r="J18" s="289">
        <f t="shared" si="0"/>
        <v>1.7499999999999998E-2</v>
      </c>
      <c r="K18" s="289">
        <f t="shared" si="9"/>
        <v>2.5000000000000001E-2</v>
      </c>
      <c r="L18" s="289">
        <f t="shared" si="1"/>
        <v>3.2500000000000001E-2</v>
      </c>
      <c r="M18" s="411"/>
      <c r="N18" s="293">
        <f t="shared" si="13"/>
        <v>75141.060800000007</v>
      </c>
      <c r="O18" s="293">
        <f t="shared" si="10"/>
        <v>93926.326000000001</v>
      </c>
      <c r="P18" s="293">
        <f t="shared" si="2"/>
        <v>112711.5912</v>
      </c>
      <c r="Q18" s="293">
        <f t="shared" si="14"/>
        <v>920.47799480000003</v>
      </c>
      <c r="R18" s="293">
        <f t="shared" si="11"/>
        <v>1643.7107049999997</v>
      </c>
      <c r="S18" s="293">
        <f t="shared" si="3"/>
        <v>2564.1886998</v>
      </c>
      <c r="T18" s="293">
        <f>+Q18*'Basic Data Input'!$K$26</f>
        <v>31296.2518232</v>
      </c>
      <c r="U18" s="293">
        <f>+R18*'Basic Data Input'!$K$26</f>
        <v>55886.163969999994</v>
      </c>
      <c r="V18" s="293">
        <f>+S18*'Basic Data Input'!$K$26</f>
        <v>87182.415793199994</v>
      </c>
      <c r="W18" s="289">
        <f t="shared" si="12"/>
        <v>0.253967</v>
      </c>
      <c r="X18" s="289">
        <f t="shared" si="4"/>
        <v>0.45351249999999993</v>
      </c>
      <c r="Y18" s="289">
        <f t="shared" si="5"/>
        <v>0.70747949999999993</v>
      </c>
      <c r="Z18" s="289">
        <f t="shared" si="6"/>
        <v>8.6348780000000005</v>
      </c>
      <c r="AA18" s="289">
        <f t="shared" si="7"/>
        <v>15.419424999999999</v>
      </c>
      <c r="AB18" s="289">
        <f t="shared" si="8"/>
        <v>24.054302999999997</v>
      </c>
    </row>
    <row r="19" spans="1:28" ht="40.15" customHeight="1">
      <c r="A19" s="170" t="s">
        <v>243</v>
      </c>
      <c r="B19" s="171"/>
      <c r="C19" s="172">
        <f>SUM(C5:C18)</f>
        <v>1972664</v>
      </c>
      <c r="D19" s="173"/>
      <c r="E19" s="172">
        <f>SUM(E5:E18)</f>
        <v>1972664.0000000002</v>
      </c>
      <c r="F19" s="160"/>
      <c r="G19" s="160"/>
      <c r="H19" s="160"/>
      <c r="I19" s="160"/>
      <c r="J19" s="160"/>
      <c r="K19" s="160"/>
      <c r="L19" s="160"/>
      <c r="M19" s="160"/>
      <c r="N19" s="160"/>
      <c r="O19" s="160"/>
      <c r="P19" s="160"/>
      <c r="Q19" s="177" t="s">
        <v>77</v>
      </c>
      <c r="R19" s="182">
        <f>SUM(R5:R18)</f>
        <v>3401423.8856587494</v>
      </c>
      <c r="S19" s="160"/>
      <c r="T19" s="160"/>
      <c r="U19" s="182">
        <f>SUM(U5:U18)</f>
        <v>115648412.11239748</v>
      </c>
      <c r="V19" s="160"/>
      <c r="W19" s="160"/>
      <c r="X19" s="160"/>
      <c r="Y19" s="160"/>
      <c r="Z19" s="160"/>
      <c r="AA19" s="160"/>
      <c r="AB19" s="160"/>
    </row>
    <row r="20" spans="1:28" ht="26.45" customHeight="1">
      <c r="A20" s="174"/>
      <c r="B20" s="72"/>
      <c r="C20" s="166" t="s">
        <v>238</v>
      </c>
      <c r="D20" s="166" t="s">
        <v>244</v>
      </c>
      <c r="E20" s="166" t="s">
        <v>245</v>
      </c>
      <c r="F20" s="178"/>
      <c r="G20" s="178"/>
      <c r="H20" s="178"/>
      <c r="I20" s="178"/>
      <c r="J20" s="178"/>
      <c r="K20" s="178"/>
      <c r="L20" s="178"/>
      <c r="M20" s="418"/>
      <c r="N20" s="418"/>
      <c r="O20" s="418"/>
      <c r="P20" s="418"/>
      <c r="Q20" s="179" t="s">
        <v>246</v>
      </c>
      <c r="R20" s="172"/>
      <c r="S20" s="172"/>
      <c r="T20" s="172"/>
      <c r="U20" s="345">
        <f>+U19/C19</f>
        <v>58.625499381748476</v>
      </c>
      <c r="V20" s="172"/>
      <c r="W20" s="160"/>
      <c r="X20" s="160"/>
      <c r="Y20" s="160"/>
      <c r="Z20" s="160"/>
      <c r="AA20" s="160"/>
      <c r="AB20" s="160"/>
    </row>
    <row r="21" spans="1:28" ht="30.6" customHeight="1">
      <c r="A21" s="422" t="s">
        <v>247</v>
      </c>
      <c r="B21" s="422"/>
      <c r="C21" s="283">
        <f>D21*0.8</f>
        <v>20.731999999999999</v>
      </c>
      <c r="D21" s="283">
        <f>+D24</f>
        <v>25.914999999999999</v>
      </c>
      <c r="E21" s="283">
        <f>D21*1.2</f>
        <v>31.097999999999999</v>
      </c>
      <c r="F21" s="177"/>
      <c r="G21" s="177"/>
      <c r="H21" s="177"/>
      <c r="I21" s="177"/>
      <c r="J21" s="177"/>
      <c r="K21" s="177"/>
      <c r="L21" s="177"/>
      <c r="M21" s="418"/>
      <c r="N21" s="418"/>
      <c r="O21" s="418"/>
      <c r="P21" s="418"/>
      <c r="Q21" s="179"/>
      <c r="R21" s="172"/>
      <c r="S21" s="172"/>
      <c r="T21" s="172"/>
      <c r="U21" s="172"/>
      <c r="V21" s="172"/>
      <c r="W21" s="160"/>
      <c r="X21" s="160"/>
      <c r="Y21" s="160"/>
      <c r="Z21" s="160"/>
      <c r="AA21" s="160"/>
      <c r="AB21" s="160"/>
    </row>
    <row r="22" spans="1:28">
      <c r="A22" s="175"/>
      <c r="B22" s="72"/>
      <c r="C22" s="176"/>
      <c r="D22" s="173"/>
      <c r="E22" s="160"/>
      <c r="F22" s="160"/>
      <c r="G22" s="160"/>
      <c r="H22" s="160"/>
      <c r="I22" s="160"/>
      <c r="J22" s="160"/>
      <c r="K22" s="160"/>
      <c r="L22" s="160"/>
      <c r="M22" s="160"/>
      <c r="N22" s="160"/>
      <c r="O22" s="180"/>
      <c r="P22" s="181"/>
      <c r="Q22" s="160"/>
      <c r="R22" s="160"/>
      <c r="S22" s="160"/>
      <c r="T22" s="160"/>
      <c r="U22" s="160"/>
      <c r="V22" s="160"/>
      <c r="W22" s="160"/>
      <c r="X22" s="160"/>
      <c r="Y22" s="160"/>
      <c r="Z22" s="160"/>
      <c r="AA22" s="160"/>
      <c r="AB22" s="160"/>
    </row>
    <row r="23" spans="1:28">
      <c r="A23" s="154"/>
      <c r="B23" s="17"/>
      <c r="C23" s="17"/>
      <c r="D23" s="41"/>
      <c r="E23" s="17"/>
      <c r="F23" s="17"/>
      <c r="G23" s="17"/>
      <c r="H23" s="17"/>
      <c r="I23" s="17"/>
      <c r="J23" s="17"/>
      <c r="K23" s="17"/>
      <c r="L23" s="17"/>
      <c r="M23" s="17"/>
      <c r="N23" s="17"/>
      <c r="O23" s="17"/>
      <c r="P23" s="17"/>
      <c r="Q23" s="17"/>
      <c r="R23" s="17"/>
      <c r="S23" s="17"/>
      <c r="T23" s="17"/>
      <c r="U23" s="17"/>
      <c r="V23" s="17"/>
      <c r="W23" s="17"/>
      <c r="X23" s="17"/>
      <c r="Y23" s="17"/>
      <c r="Z23" s="17"/>
      <c r="AA23" s="17"/>
      <c r="AB23" s="17"/>
    </row>
    <row r="24" spans="1:28">
      <c r="A24" s="154"/>
      <c r="B24" s="17"/>
      <c r="C24" s="17">
        <v>20.731999999999999</v>
      </c>
      <c r="D24" s="17">
        <v>25.914999999999999</v>
      </c>
      <c r="E24" s="17">
        <v>31.097999999999999</v>
      </c>
      <c r="F24" s="17"/>
      <c r="G24" s="17"/>
      <c r="H24" s="17"/>
      <c r="I24" s="17"/>
      <c r="J24" s="17"/>
      <c r="K24" s="17"/>
      <c r="L24" s="17"/>
      <c r="M24" s="17"/>
      <c r="N24" s="423"/>
      <c r="O24" s="423"/>
      <c r="P24" s="423"/>
      <c r="Q24" s="423"/>
      <c r="R24" s="423"/>
      <c r="S24" s="423"/>
      <c r="T24" s="157"/>
      <c r="U24" s="157"/>
      <c r="V24" s="157"/>
      <c r="W24" s="424"/>
      <c r="X24" s="424"/>
      <c r="Y24" s="425"/>
      <c r="Z24" s="425"/>
      <c r="AA24" s="425"/>
      <c r="AB24" s="425"/>
    </row>
    <row r="25" spans="1:28">
      <c r="F25" s="144"/>
      <c r="G25" s="144"/>
      <c r="H25" s="144"/>
      <c r="I25" s="144"/>
      <c r="J25" s="18"/>
      <c r="K25" s="18"/>
      <c r="L25" s="18"/>
      <c r="M25" s="18"/>
      <c r="N25" s="419"/>
      <c r="O25" s="419"/>
      <c r="P25" s="419"/>
      <c r="Q25" s="419"/>
      <c r="R25" s="419"/>
      <c r="S25" s="419"/>
      <c r="T25" s="6"/>
      <c r="U25" s="6"/>
      <c r="V25" s="6"/>
      <c r="W25" s="420"/>
      <c r="X25" s="420"/>
      <c r="Y25" s="421"/>
      <c r="Z25" s="421"/>
      <c r="AA25" s="421"/>
      <c r="AB25" s="421"/>
    </row>
    <row r="26" spans="1:28">
      <c r="A26" s="154"/>
      <c r="B26" s="17"/>
      <c r="C26" s="17"/>
      <c r="D26" s="41"/>
      <c r="E26" s="17"/>
      <c r="F26" s="17"/>
      <c r="G26" s="17"/>
      <c r="H26" s="17"/>
      <c r="I26" s="17"/>
      <c r="J26" s="17"/>
      <c r="K26" s="17"/>
      <c r="L26" s="17"/>
      <c r="M26" s="17"/>
      <c r="N26" s="17"/>
      <c r="O26" s="17"/>
      <c r="P26" s="17"/>
      <c r="Q26" s="17"/>
      <c r="R26" s="17"/>
      <c r="S26" s="17"/>
      <c r="T26" s="17"/>
      <c r="U26" s="17"/>
      <c r="V26" s="17"/>
      <c r="W26" s="17"/>
      <c r="X26" s="17"/>
      <c r="Y26" s="17"/>
      <c r="Z26" s="17"/>
      <c r="AA26" s="17"/>
      <c r="AB26" s="17"/>
    </row>
  </sheetData>
  <mergeCells count="31">
    <mergeCell ref="N25:S25"/>
    <mergeCell ref="W25:X25"/>
    <mergeCell ref="Y25:Z25"/>
    <mergeCell ref="AA25:AB25"/>
    <mergeCell ref="A21:B21"/>
    <mergeCell ref="N24:S24"/>
    <mergeCell ref="W24:X24"/>
    <mergeCell ref="Y24:Z24"/>
    <mergeCell ref="AA24:AB24"/>
    <mergeCell ref="T2:V3"/>
    <mergeCell ref="W2:Y3"/>
    <mergeCell ref="Z2:AB3"/>
    <mergeCell ref="M20:P20"/>
    <mergeCell ref="M21:P21"/>
    <mergeCell ref="F5:F18"/>
    <mergeCell ref="G5:G18"/>
    <mergeCell ref="H5:H18"/>
    <mergeCell ref="M5:M18"/>
    <mergeCell ref="A13:A14"/>
    <mergeCell ref="C13:C14"/>
    <mergeCell ref="A16:A18"/>
    <mergeCell ref="C16:C18"/>
    <mergeCell ref="A8:A11"/>
    <mergeCell ref="C8:C11"/>
    <mergeCell ref="A5:A7"/>
    <mergeCell ref="C5:C7"/>
    <mergeCell ref="A2:J2"/>
    <mergeCell ref="N2:P3"/>
    <mergeCell ref="Q2:S3"/>
    <mergeCell ref="F3:H3"/>
    <mergeCell ref="J3:L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V24"/>
  <sheetViews>
    <sheetView workbookViewId="0">
      <selection activeCell="E18" sqref="E18:E19"/>
    </sheetView>
  </sheetViews>
  <sheetFormatPr defaultRowHeight="12.6"/>
  <cols>
    <col min="13" max="13" width="12.7109375" customWidth="1"/>
    <col min="15" max="15" width="15.28515625" customWidth="1"/>
  </cols>
  <sheetData>
    <row r="1" spans="1:22">
      <c r="A1" s="159"/>
      <c r="B1" s="160"/>
      <c r="C1" s="160"/>
      <c r="D1" s="161"/>
      <c r="E1" s="160"/>
      <c r="F1" s="160"/>
      <c r="G1" s="160"/>
      <c r="H1" s="160"/>
      <c r="I1" s="160"/>
      <c r="J1" s="160"/>
      <c r="K1" s="160"/>
      <c r="L1" s="160"/>
      <c r="M1" s="160"/>
      <c r="N1" s="160"/>
      <c r="O1" s="160"/>
      <c r="P1" s="160"/>
      <c r="Q1" s="160"/>
      <c r="R1" s="160"/>
      <c r="S1" s="160"/>
      <c r="T1" s="160"/>
      <c r="U1" s="160"/>
      <c r="V1" s="160"/>
    </row>
    <row r="2" spans="1:22">
      <c r="A2" s="163" t="s">
        <v>225</v>
      </c>
      <c r="B2" s="163"/>
      <c r="C2" s="163"/>
      <c r="D2" s="163"/>
      <c r="E2" s="163"/>
      <c r="F2" s="163"/>
      <c r="G2" s="405"/>
      <c r="H2" s="405" t="s">
        <v>248</v>
      </c>
      <c r="I2" s="405"/>
      <c r="J2" s="405"/>
      <c r="K2" s="405" t="s">
        <v>249</v>
      </c>
      <c r="L2" s="405"/>
      <c r="M2" s="405"/>
      <c r="N2" s="405" t="s">
        <v>228</v>
      </c>
      <c r="O2" s="405"/>
      <c r="P2" s="405"/>
      <c r="Q2" s="405" t="s">
        <v>229</v>
      </c>
      <c r="R2" s="405"/>
      <c r="S2" s="405"/>
      <c r="T2" s="405" t="s">
        <v>230</v>
      </c>
      <c r="U2" s="405"/>
      <c r="V2" s="405"/>
    </row>
    <row r="3" spans="1:22">
      <c r="A3" s="164"/>
      <c r="B3" s="163"/>
      <c r="C3" s="163"/>
      <c r="D3" s="165"/>
      <c r="E3" s="163"/>
      <c r="F3" s="163"/>
      <c r="G3" s="422"/>
      <c r="H3" s="405"/>
      <c r="I3" s="405"/>
      <c r="J3" s="405"/>
      <c r="K3" s="405"/>
      <c r="L3" s="405"/>
      <c r="M3" s="405"/>
      <c r="N3" s="405"/>
      <c r="O3" s="405"/>
      <c r="P3" s="405"/>
      <c r="Q3" s="405"/>
      <c r="R3" s="405"/>
      <c r="S3" s="405"/>
      <c r="T3" s="405"/>
      <c r="U3" s="405"/>
      <c r="V3" s="405"/>
    </row>
    <row r="4" spans="1:22" ht="42">
      <c r="A4" s="166" t="s">
        <v>233</v>
      </c>
      <c r="B4" s="166" t="s">
        <v>234</v>
      </c>
      <c r="C4" s="166" t="s">
        <v>235</v>
      </c>
      <c r="D4" s="167" t="s">
        <v>236</v>
      </c>
      <c r="E4" s="166" t="s">
        <v>237</v>
      </c>
      <c r="F4" s="166" t="s">
        <v>250</v>
      </c>
      <c r="G4" s="168" t="s">
        <v>251</v>
      </c>
      <c r="H4" s="168" t="s">
        <v>238</v>
      </c>
      <c r="I4" s="168" t="s">
        <v>239</v>
      </c>
      <c r="J4" s="168" t="s">
        <v>240</v>
      </c>
      <c r="K4" s="168" t="s">
        <v>238</v>
      </c>
      <c r="L4" s="168" t="s">
        <v>239</v>
      </c>
      <c r="M4" s="168" t="s">
        <v>240</v>
      </c>
      <c r="N4" s="168" t="s">
        <v>238</v>
      </c>
      <c r="O4" s="168" t="s">
        <v>239</v>
      </c>
      <c r="P4" s="168" t="s">
        <v>240</v>
      </c>
      <c r="Q4" s="168" t="s">
        <v>238</v>
      </c>
      <c r="R4" s="168" t="s">
        <v>239</v>
      </c>
      <c r="S4" s="168" t="s">
        <v>240</v>
      </c>
      <c r="T4" s="168" t="s">
        <v>238</v>
      </c>
      <c r="U4" s="168" t="s">
        <v>239</v>
      </c>
      <c r="V4" s="168" t="s">
        <v>240</v>
      </c>
    </row>
    <row r="5" spans="1:22">
      <c r="A5" s="416" t="s">
        <v>173</v>
      </c>
      <c r="B5" s="183" t="s">
        <v>252</v>
      </c>
      <c r="C5" s="417">
        <f>+'Containment Systems'!B3</f>
        <v>635433</v>
      </c>
      <c r="D5" s="280">
        <v>0.15</v>
      </c>
      <c r="E5" s="187">
        <f>+C$5*D5</f>
        <v>95314.95</v>
      </c>
      <c r="F5" s="406">
        <v>1.571</v>
      </c>
      <c r="G5" s="294">
        <f>+'Containment MCF EF'!H4</f>
        <v>5.0000000000000001E-3</v>
      </c>
      <c r="H5" s="290">
        <f t="shared" ref="H5:J9" si="0">+C$23*$E5</f>
        <v>356287.2831</v>
      </c>
      <c r="I5" s="290">
        <f t="shared" si="0"/>
        <v>445311.44639999996</v>
      </c>
      <c r="J5" s="290">
        <f t="shared" si="0"/>
        <v>534335.60969999991</v>
      </c>
      <c r="K5" s="290">
        <f t="shared" ref="K5:K20" si="1">+H5*$G5*$F$5</f>
        <v>2798.6366087504998</v>
      </c>
      <c r="L5" s="290">
        <f t="shared" ref="L5:L20" si="2">+I5*$G5*$F$5</f>
        <v>3497.9214114719994</v>
      </c>
      <c r="M5" s="290">
        <f t="shared" ref="M5:M20" si="3">+J5*$G5*$F$5</f>
        <v>4197.2062141934994</v>
      </c>
      <c r="N5" s="290">
        <f>+K5*'Basic Data Input'!$K$27</f>
        <v>833993.709407649</v>
      </c>
      <c r="O5" s="290">
        <f>+L5*'Basic Data Input'!$K$27</f>
        <v>1042380.5806186558</v>
      </c>
      <c r="P5" s="290">
        <f>+M5*'Basic Data Input'!$K$27</f>
        <v>1250767.4518296628</v>
      </c>
      <c r="Q5" s="285">
        <f>+K5/$E5</f>
        <v>2.9361989999999998E-2</v>
      </c>
      <c r="R5" s="285">
        <f t="shared" ref="R5:V19" si="4">+L5/$E5</f>
        <v>3.6698559999999991E-2</v>
      </c>
      <c r="S5" s="285">
        <f t="shared" si="4"/>
        <v>4.4035129999999992E-2</v>
      </c>
      <c r="T5" s="285">
        <f t="shared" si="4"/>
        <v>8.7498730200000008</v>
      </c>
      <c r="U5" s="285">
        <f t="shared" si="4"/>
        <v>10.936170879999999</v>
      </c>
      <c r="V5" s="285">
        <f t="shared" si="4"/>
        <v>13.122468739999999</v>
      </c>
    </row>
    <row r="6" spans="1:22">
      <c r="A6" s="412"/>
      <c r="B6" s="184" t="s">
        <v>253</v>
      </c>
      <c r="C6" s="413"/>
      <c r="D6" s="281">
        <v>0.5</v>
      </c>
      <c r="E6" s="187">
        <f>+C$5*D6</f>
        <v>317716.5</v>
      </c>
      <c r="F6" s="407"/>
      <c r="G6" s="295">
        <f>+'Containment MCF EF'!H5</f>
        <v>8.9999999999999993E-3</v>
      </c>
      <c r="H6" s="292">
        <f t="shared" si="0"/>
        <v>1187624.277</v>
      </c>
      <c r="I6" s="292">
        <f t="shared" si="0"/>
        <v>1484371.4879999999</v>
      </c>
      <c r="J6" s="292">
        <f t="shared" si="0"/>
        <v>1781118.699</v>
      </c>
      <c r="K6" s="292">
        <f t="shared" si="1"/>
        <v>16791.819652503</v>
      </c>
      <c r="L6" s="292">
        <f t="shared" si="2"/>
        <v>20987.528468831999</v>
      </c>
      <c r="M6" s="292">
        <f t="shared" si="3"/>
        <v>25183.237285160998</v>
      </c>
      <c r="N6" s="292">
        <f>+K6*'Basic Data Input'!$K$27</f>
        <v>5003962.256445894</v>
      </c>
      <c r="O6" s="292">
        <f>+L6*'Basic Data Input'!$K$27</f>
        <v>6254283.4837119356</v>
      </c>
      <c r="P6" s="292">
        <f>+M6*'Basic Data Input'!$K$27</f>
        <v>7504604.7109779771</v>
      </c>
      <c r="Q6" s="287">
        <f t="shared" ref="Q6:Q19" si="5">+K6/$E6</f>
        <v>5.2851582000000001E-2</v>
      </c>
      <c r="R6" s="287">
        <f t="shared" si="4"/>
        <v>6.6057407999999998E-2</v>
      </c>
      <c r="S6" s="287">
        <f t="shared" si="4"/>
        <v>7.9263233999999988E-2</v>
      </c>
      <c r="T6" s="287">
        <f t="shared" si="4"/>
        <v>15.749771436</v>
      </c>
      <c r="U6" s="287">
        <f t="shared" si="4"/>
        <v>19.685107583999997</v>
      </c>
      <c r="V6" s="287">
        <f t="shared" si="4"/>
        <v>23.620443731999998</v>
      </c>
    </row>
    <row r="7" spans="1:22">
      <c r="A7" s="412"/>
      <c r="B7" s="184" t="s">
        <v>254</v>
      </c>
      <c r="C7" s="413"/>
      <c r="D7" s="281">
        <v>0.35</v>
      </c>
      <c r="E7" s="187">
        <f>+C$5*D7</f>
        <v>222401.55</v>
      </c>
      <c r="F7" s="407"/>
      <c r="G7" s="295">
        <f>+'Containment MCF EF'!H6</f>
        <v>6.4999999999999997E-3</v>
      </c>
      <c r="H7" s="292">
        <f t="shared" si="0"/>
        <v>831336.9939</v>
      </c>
      <c r="I7" s="292">
        <f t="shared" si="0"/>
        <v>1039060.0415999999</v>
      </c>
      <c r="J7" s="292">
        <f t="shared" si="0"/>
        <v>1246783.0892999999</v>
      </c>
      <c r="K7" s="292">
        <f t="shared" si="1"/>
        <v>8489.1977132098491</v>
      </c>
      <c r="L7" s="292">
        <f t="shared" si="2"/>
        <v>10610.361614798399</v>
      </c>
      <c r="M7" s="292">
        <f t="shared" si="3"/>
        <v>12731.525516386948</v>
      </c>
      <c r="N7" s="292">
        <f>+K7*'Basic Data Input'!$K$27</f>
        <v>2529780.918536535</v>
      </c>
      <c r="O7" s="292">
        <f>+L7*'Basic Data Input'!$K$27</f>
        <v>3161887.7612099228</v>
      </c>
      <c r="P7" s="292">
        <f>+M7*'Basic Data Input'!$K$27</f>
        <v>3793994.6038833107</v>
      </c>
      <c r="Q7" s="287">
        <f t="shared" si="5"/>
        <v>3.8170586999999999E-2</v>
      </c>
      <c r="R7" s="287">
        <f t="shared" si="4"/>
        <v>4.7708128000000002E-2</v>
      </c>
      <c r="S7" s="287">
        <f t="shared" si="4"/>
        <v>5.7245668999999992E-2</v>
      </c>
      <c r="T7" s="287">
        <f t="shared" si="4"/>
        <v>11.374834926</v>
      </c>
      <c r="U7" s="287">
        <f t="shared" si="4"/>
        <v>14.217022144</v>
      </c>
      <c r="V7" s="287">
        <f t="shared" si="4"/>
        <v>17.059209362000001</v>
      </c>
    </row>
    <row r="8" spans="1:22">
      <c r="A8" s="412" t="s">
        <v>186</v>
      </c>
      <c r="B8" s="184" t="s">
        <v>255</v>
      </c>
      <c r="C8" s="413">
        <f>+'Containment Systems'!B6</f>
        <v>634938</v>
      </c>
      <c r="D8" s="281">
        <v>0.4</v>
      </c>
      <c r="E8" s="188">
        <f>+C$8*D8</f>
        <v>253975.2</v>
      </c>
      <c r="F8" s="407"/>
      <c r="G8" s="295">
        <f>+'Containment MCF EF'!H7</f>
        <v>0.01</v>
      </c>
      <c r="H8" s="292">
        <f t="shared" si="0"/>
        <v>949359.29760000005</v>
      </c>
      <c r="I8" s="292">
        <f t="shared" si="0"/>
        <v>1186572.1343999999</v>
      </c>
      <c r="J8" s="292">
        <f t="shared" si="0"/>
        <v>1423784.9712</v>
      </c>
      <c r="K8" s="292">
        <f t="shared" si="1"/>
        <v>14914.434565296</v>
      </c>
      <c r="L8" s="292">
        <f t="shared" si="2"/>
        <v>18641.048231424</v>
      </c>
      <c r="M8" s="292">
        <f t="shared" si="3"/>
        <v>22367.661897552</v>
      </c>
      <c r="N8" s="292">
        <f>+K8*'Basic Data Input'!$K$27</f>
        <v>4444501.5004582079</v>
      </c>
      <c r="O8" s="292">
        <f>+L8*'Basic Data Input'!$K$27</f>
        <v>5555032.3729643524</v>
      </c>
      <c r="P8" s="292">
        <f>+M8*'Basic Data Input'!$K$27</f>
        <v>6665563.2454704959</v>
      </c>
      <c r="Q8" s="287">
        <f t="shared" si="5"/>
        <v>5.8723979999999995E-2</v>
      </c>
      <c r="R8" s="287">
        <f t="shared" si="4"/>
        <v>7.3397119999999996E-2</v>
      </c>
      <c r="S8" s="287">
        <f t="shared" si="4"/>
        <v>8.8070259999999997E-2</v>
      </c>
      <c r="T8" s="287">
        <f t="shared" si="4"/>
        <v>17.499746039999998</v>
      </c>
      <c r="U8" s="287">
        <f t="shared" si="4"/>
        <v>21.872341760000001</v>
      </c>
      <c r="V8" s="287">
        <f t="shared" si="4"/>
        <v>26.244937479999997</v>
      </c>
    </row>
    <row r="9" spans="1:22">
      <c r="A9" s="412"/>
      <c r="B9" s="184" t="s">
        <v>256</v>
      </c>
      <c r="C9" s="413"/>
      <c r="D9" s="281">
        <v>0.6</v>
      </c>
      <c r="E9" s="188">
        <f>+C$8*D9</f>
        <v>380962.8</v>
      </c>
      <c r="F9" s="407"/>
      <c r="G9" s="295">
        <f>+'Containment MCF EF'!H8</f>
        <v>7.4999999999999997E-3</v>
      </c>
      <c r="H9" s="292">
        <f t="shared" si="0"/>
        <v>1424038.9464</v>
      </c>
      <c r="I9" s="292">
        <f t="shared" si="0"/>
        <v>1779858.2015999998</v>
      </c>
      <c r="J9" s="292">
        <f t="shared" si="0"/>
        <v>2135677.4567999998</v>
      </c>
      <c r="K9" s="292">
        <f t="shared" si="1"/>
        <v>16778.738885957999</v>
      </c>
      <c r="L9" s="292">
        <f t="shared" si="2"/>
        <v>20971.179260351997</v>
      </c>
      <c r="M9" s="292">
        <f t="shared" si="3"/>
        <v>25163.619634745995</v>
      </c>
      <c r="N9" s="292">
        <f>+K9*'Basic Data Input'!$K$27</f>
        <v>5000064.1880154833</v>
      </c>
      <c r="O9" s="292">
        <f>+L9*'Basic Data Input'!$K$27</f>
        <v>6249411.4195848955</v>
      </c>
      <c r="P9" s="292">
        <f>+M9*'Basic Data Input'!$K$27</f>
        <v>7498758.6511543067</v>
      </c>
      <c r="Q9" s="287">
        <f t="shared" si="5"/>
        <v>4.4042985E-2</v>
      </c>
      <c r="R9" s="287">
        <f t="shared" si="4"/>
        <v>5.5047839999999994E-2</v>
      </c>
      <c r="S9" s="287">
        <f t="shared" si="4"/>
        <v>6.6052694999999995E-2</v>
      </c>
      <c r="T9" s="287">
        <f t="shared" si="4"/>
        <v>13.124809529999999</v>
      </c>
      <c r="U9" s="287">
        <f t="shared" si="4"/>
        <v>16.404256319999998</v>
      </c>
      <c r="V9" s="287">
        <f t="shared" si="4"/>
        <v>19.683703109999996</v>
      </c>
    </row>
    <row r="10" spans="1:22">
      <c r="A10" s="412"/>
      <c r="B10" s="241" t="s">
        <v>257</v>
      </c>
      <c r="C10" s="413"/>
      <c r="D10" s="281">
        <v>0</v>
      </c>
      <c r="E10" s="188">
        <f>+C$8*D10</f>
        <v>0</v>
      </c>
      <c r="F10" s="407"/>
      <c r="G10" s="296">
        <v>0</v>
      </c>
      <c r="H10" s="292">
        <v>0</v>
      </c>
      <c r="I10" s="292">
        <v>0</v>
      </c>
      <c r="J10" s="292">
        <v>0</v>
      </c>
      <c r="K10" s="292">
        <f t="shared" si="1"/>
        <v>0</v>
      </c>
      <c r="L10" s="292">
        <f t="shared" si="2"/>
        <v>0</v>
      </c>
      <c r="M10" s="292">
        <f t="shared" si="3"/>
        <v>0</v>
      </c>
      <c r="N10" s="292">
        <f>+K10*'Basic Data Input'!$K$27</f>
        <v>0</v>
      </c>
      <c r="O10" s="292">
        <f>+L10*'Basic Data Input'!$K$27</f>
        <v>0</v>
      </c>
      <c r="P10" s="292">
        <f>+M10*'Basic Data Input'!$K$27</f>
        <v>0</v>
      </c>
      <c r="Q10" s="287"/>
      <c r="R10" s="287"/>
      <c r="S10" s="287"/>
      <c r="T10" s="287"/>
      <c r="U10" s="287"/>
      <c r="V10" s="287"/>
    </row>
    <row r="11" spans="1:22">
      <c r="A11" s="412"/>
      <c r="B11" s="241" t="s">
        <v>257</v>
      </c>
      <c r="C11" s="413"/>
      <c r="D11" s="281">
        <v>0</v>
      </c>
      <c r="E11" s="188">
        <f>+C$8*D11</f>
        <v>0</v>
      </c>
      <c r="F11" s="407"/>
      <c r="G11" s="296">
        <v>0</v>
      </c>
      <c r="H11" s="292">
        <v>0</v>
      </c>
      <c r="I11" s="292">
        <v>0</v>
      </c>
      <c r="J11" s="292">
        <v>0</v>
      </c>
      <c r="K11" s="292">
        <f t="shared" si="1"/>
        <v>0</v>
      </c>
      <c r="L11" s="292">
        <f t="shared" si="2"/>
        <v>0</v>
      </c>
      <c r="M11" s="292">
        <f t="shared" si="3"/>
        <v>0</v>
      </c>
      <c r="N11" s="292">
        <f>+K11*'Basic Data Input'!$K$27</f>
        <v>0</v>
      </c>
      <c r="O11" s="292">
        <f>+L11*'Basic Data Input'!$K$27</f>
        <v>0</v>
      </c>
      <c r="P11" s="292">
        <f>+M11*'Basic Data Input'!$K$27</f>
        <v>0</v>
      </c>
      <c r="Q11" s="287"/>
      <c r="R11" s="287"/>
      <c r="S11" s="287"/>
      <c r="T11" s="287"/>
      <c r="U11" s="287"/>
      <c r="V11" s="287"/>
    </row>
    <row r="12" spans="1:22" ht="20.100000000000001">
      <c r="A12" s="185" t="s">
        <v>197</v>
      </c>
      <c r="B12" s="184" t="s">
        <v>258</v>
      </c>
      <c r="C12" s="172">
        <f>+'Containment Systems'!B10</f>
        <v>637460</v>
      </c>
      <c r="D12" s="281">
        <v>1</v>
      </c>
      <c r="E12" s="188">
        <f>+C12*D12</f>
        <v>637460</v>
      </c>
      <c r="F12" s="407"/>
      <c r="G12" s="295">
        <f>+'Containment MCF EF'!H11</f>
        <v>5.0000000000000001E-3</v>
      </c>
      <c r="H12" s="292">
        <f t="shared" ref="H12:J13" si="6">+C$23*$E12</f>
        <v>2382825.48</v>
      </c>
      <c r="I12" s="292">
        <f t="shared" si="6"/>
        <v>2978213.1199999996</v>
      </c>
      <c r="J12" s="292">
        <f t="shared" si="6"/>
        <v>3573600.76</v>
      </c>
      <c r="K12" s="292">
        <f t="shared" si="1"/>
        <v>18717.094145399999</v>
      </c>
      <c r="L12" s="292">
        <f t="shared" si="2"/>
        <v>23393.864057599996</v>
      </c>
      <c r="M12" s="292">
        <f t="shared" si="3"/>
        <v>28070.633969799997</v>
      </c>
      <c r="N12" s="292">
        <f>+K12*'Basic Data Input'!$K$27</f>
        <v>5577694.0553291999</v>
      </c>
      <c r="O12" s="292">
        <f>+L12*'Basic Data Input'!$K$27</f>
        <v>6971371.4891647985</v>
      </c>
      <c r="P12" s="292">
        <f>+M12*'Basic Data Input'!$K$27</f>
        <v>8365048.923000399</v>
      </c>
      <c r="Q12" s="287">
        <f t="shared" si="5"/>
        <v>2.9361989999999998E-2</v>
      </c>
      <c r="R12" s="287">
        <f t="shared" si="4"/>
        <v>3.6698559999999991E-2</v>
      </c>
      <c r="S12" s="287">
        <f t="shared" si="4"/>
        <v>4.4035129999999999E-2</v>
      </c>
      <c r="T12" s="287">
        <f t="shared" si="4"/>
        <v>8.749873019999999</v>
      </c>
      <c r="U12" s="287">
        <f t="shared" si="4"/>
        <v>10.936170879999997</v>
      </c>
      <c r="V12" s="287">
        <f t="shared" si="4"/>
        <v>13.122468739999999</v>
      </c>
    </row>
    <row r="13" spans="1:22">
      <c r="A13" s="412" t="s">
        <v>242</v>
      </c>
      <c r="B13" s="184" t="s">
        <v>259</v>
      </c>
      <c r="C13" s="413">
        <f>+'Containment Systems'!B11</f>
        <v>51884</v>
      </c>
      <c r="D13" s="281">
        <v>0.3</v>
      </c>
      <c r="E13" s="188">
        <f>+C$13*D13</f>
        <v>15565.199999999999</v>
      </c>
      <c r="F13" s="407"/>
      <c r="G13" s="295">
        <f>+'Containment MCF EF'!H12</f>
        <v>6.0000000000000001E-3</v>
      </c>
      <c r="H13" s="292">
        <f t="shared" si="6"/>
        <v>58182.717599999996</v>
      </c>
      <c r="I13" s="292">
        <f t="shared" si="6"/>
        <v>72720.614399999991</v>
      </c>
      <c r="J13" s="292">
        <f t="shared" si="6"/>
        <v>87258.511199999994</v>
      </c>
      <c r="K13" s="292">
        <f t="shared" si="1"/>
        <v>548.43029609759992</v>
      </c>
      <c r="L13" s="292">
        <f t="shared" si="2"/>
        <v>685.46451133439984</v>
      </c>
      <c r="M13" s="292">
        <f t="shared" si="3"/>
        <v>822.49872657119988</v>
      </c>
      <c r="N13" s="292">
        <f>+K13*'Basic Data Input'!$K$27</f>
        <v>163432.22823708478</v>
      </c>
      <c r="O13" s="292">
        <f>+L13*'Basic Data Input'!$K$27</f>
        <v>204268.42437765116</v>
      </c>
      <c r="P13" s="292">
        <f>+M13*'Basic Data Input'!$K$27</f>
        <v>245104.62051821756</v>
      </c>
      <c r="Q13" s="287">
        <f t="shared" si="5"/>
        <v>3.5234387999999998E-2</v>
      </c>
      <c r="R13" s="287">
        <f t="shared" si="4"/>
        <v>4.4038271999999996E-2</v>
      </c>
      <c r="S13" s="287">
        <f t="shared" si="4"/>
        <v>5.2842155999999994E-2</v>
      </c>
      <c r="T13" s="287">
        <f t="shared" si="4"/>
        <v>10.499847623999999</v>
      </c>
      <c r="U13" s="287">
        <f t="shared" si="4"/>
        <v>13.123405055999998</v>
      </c>
      <c r="V13" s="287">
        <f t="shared" si="4"/>
        <v>15.746962487999999</v>
      </c>
    </row>
    <row r="14" spans="1:22">
      <c r="A14" s="412"/>
      <c r="B14" s="184" t="s">
        <v>260</v>
      </c>
      <c r="C14" s="413"/>
      <c r="D14" s="281">
        <v>0.4</v>
      </c>
      <c r="E14" s="188">
        <f>+C$13*D14</f>
        <v>20753.600000000002</v>
      </c>
      <c r="F14" s="407"/>
      <c r="G14" s="295">
        <f>+'Containment MCF EF'!H13</f>
        <v>8.0000000000000002E-3</v>
      </c>
      <c r="H14" s="292">
        <v>0</v>
      </c>
      <c r="I14" s="292">
        <v>0</v>
      </c>
      <c r="J14" s="292">
        <v>0</v>
      </c>
      <c r="K14" s="292">
        <f t="shared" si="1"/>
        <v>0</v>
      </c>
      <c r="L14" s="292">
        <f t="shared" si="2"/>
        <v>0</v>
      </c>
      <c r="M14" s="292">
        <f t="shared" si="3"/>
        <v>0</v>
      </c>
      <c r="N14" s="292">
        <f>+K14*'Basic Data Input'!$K$27</f>
        <v>0</v>
      </c>
      <c r="O14" s="292">
        <f>+L14*'Basic Data Input'!$K$27</f>
        <v>0</v>
      </c>
      <c r="P14" s="292">
        <f>+M14*'Basic Data Input'!$K$27</f>
        <v>0</v>
      </c>
      <c r="Q14" s="287"/>
      <c r="R14" s="287"/>
      <c r="S14" s="287"/>
      <c r="T14" s="287"/>
      <c r="U14" s="287"/>
      <c r="V14" s="287"/>
    </row>
    <row r="15" spans="1:22">
      <c r="A15" s="412"/>
      <c r="B15" s="184" t="s">
        <v>261</v>
      </c>
      <c r="C15" s="413"/>
      <c r="D15" s="281">
        <v>0.15</v>
      </c>
      <c r="E15" s="188">
        <f>+C$13*D15</f>
        <v>7782.5999999999995</v>
      </c>
      <c r="F15" s="407"/>
      <c r="G15" s="295">
        <f>+'Containment MCF EF'!H14</f>
        <v>6.4999999999999997E-3</v>
      </c>
      <c r="H15" s="292">
        <v>0</v>
      </c>
      <c r="I15" s="292">
        <v>0</v>
      </c>
      <c r="J15" s="292">
        <v>0</v>
      </c>
      <c r="K15" s="292">
        <f t="shared" si="1"/>
        <v>0</v>
      </c>
      <c r="L15" s="292">
        <f t="shared" si="2"/>
        <v>0</v>
      </c>
      <c r="M15" s="292">
        <f t="shared" si="3"/>
        <v>0</v>
      </c>
      <c r="N15" s="292">
        <f>+K15*'Basic Data Input'!$K$27</f>
        <v>0</v>
      </c>
      <c r="O15" s="292">
        <f>+L15*'Basic Data Input'!$K$27</f>
        <v>0</v>
      </c>
      <c r="P15" s="292">
        <f>+M15*'Basic Data Input'!$K$27</f>
        <v>0</v>
      </c>
      <c r="Q15" s="287"/>
      <c r="R15" s="287"/>
      <c r="S15" s="287"/>
      <c r="T15" s="287"/>
      <c r="U15" s="287"/>
      <c r="V15" s="287"/>
    </row>
    <row r="16" spans="1:22">
      <c r="A16" s="412"/>
      <c r="B16" s="184" t="s">
        <v>262</v>
      </c>
      <c r="C16" s="413"/>
      <c r="D16" s="281">
        <v>0.15</v>
      </c>
      <c r="E16" s="188">
        <f>+C$13*D16</f>
        <v>7782.5999999999995</v>
      </c>
      <c r="F16" s="407"/>
      <c r="G16" s="295">
        <f>+'Containment MCF EF'!H15</f>
        <v>8.9999999999999993E-3</v>
      </c>
      <c r="H16" s="292">
        <f t="shared" ref="H16:J19" si="7">+C$23*$E16</f>
        <v>29091.358799999998</v>
      </c>
      <c r="I16" s="292">
        <f t="shared" si="7"/>
        <v>36360.307199999996</v>
      </c>
      <c r="J16" s="292">
        <f t="shared" si="7"/>
        <v>43629.255599999997</v>
      </c>
      <c r="K16" s="292">
        <f t="shared" si="1"/>
        <v>411.32272207319994</v>
      </c>
      <c r="L16" s="292">
        <f t="shared" si="2"/>
        <v>514.09838350079986</v>
      </c>
      <c r="M16" s="292">
        <f t="shared" si="3"/>
        <v>616.87404492839994</v>
      </c>
      <c r="N16" s="292">
        <f>+K16*'Basic Data Input'!$K$27</f>
        <v>122574.17117781358</v>
      </c>
      <c r="O16" s="292">
        <f>+L16*'Basic Data Input'!$K$27</f>
        <v>153201.31828323836</v>
      </c>
      <c r="P16" s="292">
        <f>+M16*'Basic Data Input'!$K$27</f>
        <v>183828.46538866317</v>
      </c>
      <c r="Q16" s="287">
        <f t="shared" si="5"/>
        <v>5.2851581999999994E-2</v>
      </c>
      <c r="R16" s="287">
        <f t="shared" si="4"/>
        <v>6.6057407999999984E-2</v>
      </c>
      <c r="S16" s="287">
        <f t="shared" si="4"/>
        <v>7.9263234000000002E-2</v>
      </c>
      <c r="T16" s="287">
        <f t="shared" si="4"/>
        <v>15.749771435999998</v>
      </c>
      <c r="U16" s="287">
        <f t="shared" si="4"/>
        <v>19.685107583999997</v>
      </c>
      <c r="V16" s="287">
        <f t="shared" si="4"/>
        <v>23.620443731999998</v>
      </c>
    </row>
    <row r="17" spans="1:22" ht="20.100000000000001">
      <c r="A17" s="185" t="s">
        <v>213</v>
      </c>
      <c r="B17" s="184" t="s">
        <v>263</v>
      </c>
      <c r="C17" s="172">
        <f>+'Containment Systems'!B15</f>
        <v>2289</v>
      </c>
      <c r="D17" s="281">
        <v>1</v>
      </c>
      <c r="E17" s="188">
        <f>+C17*D17</f>
        <v>2289</v>
      </c>
      <c r="F17" s="407"/>
      <c r="G17" s="295">
        <f>+'Containment MCF EF'!H16</f>
        <v>0.01</v>
      </c>
      <c r="H17" s="292">
        <f t="shared" si="7"/>
        <v>8556.2819999999992</v>
      </c>
      <c r="I17" s="292">
        <f t="shared" si="7"/>
        <v>10694.207999999999</v>
      </c>
      <c r="J17" s="292">
        <f t="shared" si="7"/>
        <v>12832.134</v>
      </c>
      <c r="K17" s="292">
        <f t="shared" si="1"/>
        <v>134.41919021999999</v>
      </c>
      <c r="L17" s="292">
        <f t="shared" si="2"/>
        <v>168.00600767999998</v>
      </c>
      <c r="M17" s="292">
        <f t="shared" si="3"/>
        <v>201.59282513999997</v>
      </c>
      <c r="N17" s="292">
        <f>+K17*'Basic Data Input'!$K$27</f>
        <v>40056.918685559998</v>
      </c>
      <c r="O17" s="292">
        <f>+L17*'Basic Data Input'!$K$27</f>
        <v>50065.790288639997</v>
      </c>
      <c r="P17" s="292">
        <f>+M17*'Basic Data Input'!$K$27</f>
        <v>60074.661891719996</v>
      </c>
      <c r="Q17" s="287">
        <f t="shared" si="5"/>
        <v>5.8723979999999995E-2</v>
      </c>
      <c r="R17" s="287">
        <f t="shared" si="4"/>
        <v>7.3397119999999996E-2</v>
      </c>
      <c r="S17" s="287">
        <f t="shared" si="4"/>
        <v>8.8070259999999984E-2</v>
      </c>
      <c r="T17" s="287">
        <f t="shared" si="4"/>
        <v>17.499746039999998</v>
      </c>
      <c r="U17" s="287">
        <f t="shared" si="4"/>
        <v>21.872341759999998</v>
      </c>
      <c r="V17" s="287">
        <f t="shared" si="4"/>
        <v>26.244937479999997</v>
      </c>
    </row>
    <row r="18" spans="1:22">
      <c r="A18" s="412" t="s">
        <v>216</v>
      </c>
      <c r="B18" s="184" t="s">
        <v>264</v>
      </c>
      <c r="C18" s="413">
        <f>+'Containment Systems'!B16</f>
        <v>10660</v>
      </c>
      <c r="D18" s="281">
        <v>0.5</v>
      </c>
      <c r="E18" s="188">
        <f>+C$18*D18</f>
        <v>5330</v>
      </c>
      <c r="F18" s="407"/>
      <c r="G18" s="295">
        <f>+'Containment MCF EF'!H17</f>
        <v>8.9999999999999993E-3</v>
      </c>
      <c r="H18" s="292">
        <f t="shared" si="7"/>
        <v>19923.54</v>
      </c>
      <c r="I18" s="292">
        <f t="shared" si="7"/>
        <v>24901.759999999998</v>
      </c>
      <c r="J18" s="292">
        <f t="shared" si="7"/>
        <v>29879.98</v>
      </c>
      <c r="K18" s="292">
        <f t="shared" si="1"/>
        <v>281.69893206</v>
      </c>
      <c r="L18" s="292">
        <f t="shared" si="2"/>
        <v>352.08598463999994</v>
      </c>
      <c r="M18" s="292">
        <f t="shared" si="3"/>
        <v>422.47303721999992</v>
      </c>
      <c r="N18" s="292">
        <f>+K18*'Basic Data Input'!$K$27</f>
        <v>83946.281753880001</v>
      </c>
      <c r="O18" s="292">
        <f>+L18*'Basic Data Input'!$K$27</f>
        <v>104921.62342271997</v>
      </c>
      <c r="P18" s="292">
        <f>+M18*'Basic Data Input'!$K$27</f>
        <v>125896.96509155998</v>
      </c>
      <c r="Q18" s="287">
        <f t="shared" si="5"/>
        <v>5.2851582000000001E-2</v>
      </c>
      <c r="R18" s="287">
        <f t="shared" si="4"/>
        <v>6.6057407999999984E-2</v>
      </c>
      <c r="S18" s="287">
        <f t="shared" si="4"/>
        <v>7.9263233999999988E-2</v>
      </c>
      <c r="T18" s="287">
        <f t="shared" si="4"/>
        <v>15.749771436</v>
      </c>
      <c r="U18" s="287">
        <f t="shared" si="4"/>
        <v>19.685107583999994</v>
      </c>
      <c r="V18" s="287">
        <f t="shared" si="4"/>
        <v>23.620443731999995</v>
      </c>
    </row>
    <row r="19" spans="1:22">
      <c r="A19" s="412"/>
      <c r="B19" s="184" t="s">
        <v>265</v>
      </c>
      <c r="C19" s="413"/>
      <c r="D19" s="281">
        <v>0.5</v>
      </c>
      <c r="E19" s="188">
        <f>+C$18*D19</f>
        <v>5330</v>
      </c>
      <c r="F19" s="407"/>
      <c r="G19" s="295">
        <f>+'Containment MCF EF'!H18</f>
        <v>8.0000000000000002E-3</v>
      </c>
      <c r="H19" s="292">
        <f t="shared" si="7"/>
        <v>19923.54</v>
      </c>
      <c r="I19" s="292">
        <f t="shared" si="7"/>
        <v>24901.759999999998</v>
      </c>
      <c r="J19" s="292">
        <f t="shared" si="7"/>
        <v>29879.98</v>
      </c>
      <c r="K19" s="292">
        <f t="shared" si="1"/>
        <v>250.39905072000002</v>
      </c>
      <c r="L19" s="292">
        <f t="shared" si="2"/>
        <v>312.96531967999999</v>
      </c>
      <c r="M19" s="292">
        <f t="shared" si="3"/>
        <v>375.53158864</v>
      </c>
      <c r="N19" s="292">
        <f>+K19*'Basic Data Input'!$K$27</f>
        <v>74618.917114560012</v>
      </c>
      <c r="O19" s="292">
        <f>+L19*'Basic Data Input'!$K$27</f>
        <v>93263.665264640003</v>
      </c>
      <c r="P19" s="292">
        <f>+M19*'Basic Data Input'!$K$27</f>
        <v>111908.41341471999</v>
      </c>
      <c r="Q19" s="287">
        <f t="shared" si="5"/>
        <v>4.6979184E-2</v>
      </c>
      <c r="R19" s="287">
        <f t="shared" si="4"/>
        <v>5.8717696E-2</v>
      </c>
      <c r="S19" s="287">
        <f t="shared" si="4"/>
        <v>7.0456207999999992E-2</v>
      </c>
      <c r="T19" s="287">
        <f t="shared" si="4"/>
        <v>13.999796832000003</v>
      </c>
      <c r="U19" s="287">
        <f t="shared" si="4"/>
        <v>17.497873408</v>
      </c>
      <c r="V19" s="287">
        <f t="shared" si="4"/>
        <v>20.995949983999999</v>
      </c>
    </row>
    <row r="20" spans="1:22">
      <c r="A20" s="414"/>
      <c r="B20" s="242" t="s">
        <v>257</v>
      </c>
      <c r="C20" s="415"/>
      <c r="D20" s="282">
        <v>0</v>
      </c>
      <c r="E20" s="189">
        <f>+C18*D20</f>
        <v>0</v>
      </c>
      <c r="F20" s="408"/>
      <c r="G20" s="297">
        <v>0</v>
      </c>
      <c r="H20" s="293">
        <v>0</v>
      </c>
      <c r="I20" s="293">
        <v>0</v>
      </c>
      <c r="J20" s="293">
        <v>0</v>
      </c>
      <c r="K20" s="293">
        <f t="shared" si="1"/>
        <v>0</v>
      </c>
      <c r="L20" s="293">
        <f t="shared" si="2"/>
        <v>0</v>
      </c>
      <c r="M20" s="293">
        <f t="shared" si="3"/>
        <v>0</v>
      </c>
      <c r="N20" s="293">
        <f>+K20*'Basic Data Input'!$K$27</f>
        <v>0</v>
      </c>
      <c r="O20" s="293">
        <f>+L20*'Basic Data Input'!$K$27</f>
        <v>0</v>
      </c>
      <c r="P20" s="293">
        <f>+M20*'Basic Data Input'!$K$27</f>
        <v>0</v>
      </c>
      <c r="Q20" s="289"/>
      <c r="R20" s="289"/>
      <c r="S20" s="289"/>
      <c r="T20" s="289"/>
      <c r="U20" s="289"/>
      <c r="V20" s="289"/>
    </row>
    <row r="21" spans="1:22" ht="31.5">
      <c r="A21" s="170" t="s">
        <v>243</v>
      </c>
      <c r="B21" s="171"/>
      <c r="C21" s="172">
        <f>SUM(C5:C20)</f>
        <v>1972664</v>
      </c>
      <c r="D21" s="173"/>
      <c r="E21" s="172">
        <f>SUM(E5:E20)</f>
        <v>1972664.0000000002</v>
      </c>
      <c r="F21" s="160"/>
      <c r="G21" s="160"/>
      <c r="H21" s="160"/>
      <c r="I21" s="160"/>
      <c r="J21" s="160"/>
      <c r="K21" s="177" t="s">
        <v>77</v>
      </c>
      <c r="L21" s="182">
        <f>SUM(L5:L20)</f>
        <v>100134.52325131359</v>
      </c>
      <c r="M21" s="160"/>
      <c r="N21" s="160"/>
      <c r="O21" s="182">
        <f>SUM(O5:O20)</f>
        <v>29840087.928891446</v>
      </c>
      <c r="P21" s="210"/>
      <c r="Q21" s="160"/>
      <c r="R21" s="160"/>
      <c r="S21" s="160"/>
      <c r="T21" s="160"/>
      <c r="U21" s="160"/>
      <c r="V21" s="160"/>
    </row>
    <row r="22" spans="1:22" ht="21">
      <c r="A22" s="174"/>
      <c r="B22" s="72"/>
      <c r="C22" s="166" t="s">
        <v>238</v>
      </c>
      <c r="D22" s="166" t="s">
        <v>244</v>
      </c>
      <c r="E22" s="166" t="s">
        <v>245</v>
      </c>
      <c r="F22" s="178"/>
      <c r="G22" s="178"/>
      <c r="H22" s="418"/>
      <c r="I22" s="418"/>
      <c r="J22" s="418"/>
      <c r="K22" s="179" t="s">
        <v>266</v>
      </c>
      <c r="L22" s="172"/>
      <c r="M22" s="172"/>
      <c r="N22" s="172"/>
      <c r="O22" s="172">
        <f>+O21/C21</f>
        <v>15.126797026199823</v>
      </c>
      <c r="P22" s="172"/>
      <c r="Q22" s="160"/>
      <c r="R22" s="160"/>
      <c r="S22" s="160"/>
      <c r="T22" s="160"/>
      <c r="U22" s="160"/>
      <c r="V22" s="160"/>
    </row>
    <row r="23" spans="1:22" ht="22.9" customHeight="1">
      <c r="A23" s="422" t="s">
        <v>267</v>
      </c>
      <c r="B23" s="422"/>
      <c r="C23" s="283">
        <v>3.738</v>
      </c>
      <c r="D23" s="283">
        <v>4.6719999999999997</v>
      </c>
      <c r="E23" s="283">
        <v>5.6059999999999999</v>
      </c>
      <c r="F23" s="177"/>
      <c r="G23" s="177"/>
      <c r="H23" s="418"/>
      <c r="I23" s="418"/>
      <c r="J23" s="418"/>
      <c r="K23" s="179"/>
      <c r="L23" s="172"/>
      <c r="M23" s="172"/>
      <c r="N23" s="172"/>
      <c r="O23" s="172"/>
      <c r="P23" s="172"/>
      <c r="Q23" s="160"/>
      <c r="R23" s="160"/>
      <c r="S23" s="160"/>
      <c r="T23" s="160"/>
      <c r="U23" s="160"/>
      <c r="V23" s="160"/>
    </row>
    <row r="24" spans="1:22">
      <c r="A24" s="175"/>
      <c r="B24" s="72"/>
      <c r="C24" s="176"/>
      <c r="D24" s="173"/>
      <c r="E24" s="160"/>
      <c r="F24" s="160"/>
      <c r="G24" s="160"/>
      <c r="H24" s="160"/>
      <c r="I24" s="180"/>
      <c r="J24" s="181"/>
      <c r="K24" s="160"/>
      <c r="L24" s="160"/>
      <c r="M24" s="160"/>
      <c r="N24" s="160"/>
      <c r="O24" s="160"/>
      <c r="P24" s="160"/>
      <c r="Q24" s="160"/>
      <c r="R24" s="160"/>
      <c r="S24" s="160"/>
      <c r="T24" s="160"/>
      <c r="U24" s="160"/>
      <c r="V24" s="160"/>
    </row>
  </sheetData>
  <mergeCells count="18">
    <mergeCell ref="A23:B23"/>
    <mergeCell ref="H23:J23"/>
    <mergeCell ref="G2:G3"/>
    <mergeCell ref="A5:A7"/>
    <mergeCell ref="C5:C7"/>
    <mergeCell ref="F5:F20"/>
    <mergeCell ref="A8:A11"/>
    <mergeCell ref="C8:C11"/>
    <mergeCell ref="A13:A16"/>
    <mergeCell ref="C13:C16"/>
    <mergeCell ref="A18:A20"/>
    <mergeCell ref="C18:C20"/>
    <mergeCell ref="H2:J3"/>
    <mergeCell ref="K2:M3"/>
    <mergeCell ref="N2:P3"/>
    <mergeCell ref="Q2:S3"/>
    <mergeCell ref="T2:V3"/>
    <mergeCell ref="H22:J2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M16"/>
  <sheetViews>
    <sheetView workbookViewId="0">
      <selection activeCell="B17" sqref="B17"/>
    </sheetView>
  </sheetViews>
  <sheetFormatPr defaultColWidth="8.85546875" defaultRowHeight="9.9499999999999993"/>
  <cols>
    <col min="1" max="1" width="13.7109375" style="17" customWidth="1"/>
    <col min="2" max="2" width="12.7109375" style="17" customWidth="1"/>
    <col min="3" max="3" width="14" style="17" customWidth="1"/>
    <col min="4" max="4" width="9" style="17" bestFit="1" customWidth="1"/>
    <col min="5" max="5" width="11" style="17" bestFit="1" customWidth="1"/>
    <col min="6" max="6" width="9" style="17" bestFit="1" customWidth="1"/>
    <col min="7" max="8" width="9.7109375" style="17" bestFit="1" customWidth="1"/>
    <col min="9" max="10" width="9" style="17" bestFit="1" customWidth="1"/>
    <col min="11" max="11" width="13.5703125" style="17" customWidth="1"/>
    <col min="12" max="12" width="11.28515625" style="17" bestFit="1" customWidth="1"/>
    <col min="13" max="13" width="9" style="17" bestFit="1" customWidth="1"/>
    <col min="14" max="16384" width="8.85546875" style="17"/>
  </cols>
  <sheetData>
    <row r="1" spans="1:13" ht="52.5">
      <c r="A1" s="192" t="s">
        <v>233</v>
      </c>
      <c r="B1" s="192" t="s">
        <v>268</v>
      </c>
      <c r="C1" s="162" t="s">
        <v>269</v>
      </c>
      <c r="D1" s="192" t="s">
        <v>270</v>
      </c>
      <c r="E1" s="192" t="s">
        <v>271</v>
      </c>
      <c r="F1" s="192" t="s">
        <v>272</v>
      </c>
      <c r="G1" s="192" t="s">
        <v>273</v>
      </c>
      <c r="H1" s="192" t="s">
        <v>274</v>
      </c>
      <c r="I1" s="192" t="s">
        <v>275</v>
      </c>
      <c r="J1" s="192" t="s">
        <v>276</v>
      </c>
      <c r="K1" s="192" t="s">
        <v>277</v>
      </c>
      <c r="L1" s="192" t="s">
        <v>278</v>
      </c>
      <c r="M1" s="192" t="s">
        <v>279</v>
      </c>
    </row>
    <row r="2" spans="1:13">
      <c r="A2" s="404" t="s">
        <v>280</v>
      </c>
      <c r="B2" s="429">
        <f>+'Containment Systems'!C3</f>
        <v>64782</v>
      </c>
      <c r="C2" s="298" t="s">
        <v>281</v>
      </c>
      <c r="D2" s="298">
        <f>1253</f>
        <v>1253</v>
      </c>
      <c r="E2" s="172">
        <f>(D2*B2)</f>
        <v>81171846</v>
      </c>
      <c r="F2" s="193">
        <f>VLOOKUP(C2,'Basic Data Input'!J$29:K$32,2)</f>
        <v>0.108</v>
      </c>
      <c r="G2" s="172">
        <f>(E2*F2)</f>
        <v>8766559.3680000007</v>
      </c>
      <c r="H2" s="413">
        <f>G2+G3+G4</f>
        <v>15326384.688000001</v>
      </c>
      <c r="I2" s="430">
        <f>H2/B2</f>
        <v>236.584</v>
      </c>
      <c r="J2" s="428">
        <v>8</v>
      </c>
      <c r="K2" s="413">
        <f>H2/J2</f>
        <v>1915798.0860000001</v>
      </c>
      <c r="L2" s="194"/>
      <c r="M2" s="160"/>
    </row>
    <row r="3" spans="1:13">
      <c r="A3" s="404"/>
      <c r="B3" s="429"/>
      <c r="C3" s="298" t="s">
        <v>282</v>
      </c>
      <c r="D3" s="299">
        <f>422</f>
        <v>422</v>
      </c>
      <c r="E3" s="172">
        <f>(D3*B2)</f>
        <v>27338004</v>
      </c>
      <c r="F3" s="193">
        <f>VLOOKUP(C3,'Basic Data Input'!J$29:K$32,2)</f>
        <v>0.2</v>
      </c>
      <c r="G3" s="172">
        <f>E3*F3</f>
        <v>5467600.8000000007</v>
      </c>
      <c r="H3" s="413"/>
      <c r="I3" s="430"/>
      <c r="J3" s="428"/>
      <c r="K3" s="413"/>
      <c r="L3" s="194">
        <f>B2*11</f>
        <v>712602</v>
      </c>
      <c r="M3" s="195">
        <f>K2/L3</f>
        <v>2.6884545454545457</v>
      </c>
    </row>
    <row r="4" spans="1:13">
      <c r="A4" s="404"/>
      <c r="B4" s="429"/>
      <c r="C4" s="298" t="s">
        <v>38</v>
      </c>
      <c r="D4" s="298">
        <f>281</f>
        <v>281</v>
      </c>
      <c r="E4" s="172">
        <f>D4*B2</f>
        <v>18203742</v>
      </c>
      <c r="F4" s="193">
        <f>VLOOKUP(C4,'Basic Data Input'!J$29:K$32,2)</f>
        <v>0.06</v>
      </c>
      <c r="G4" s="172">
        <f>E4*F4</f>
        <v>1092224.52</v>
      </c>
      <c r="H4" s="413"/>
      <c r="I4" s="430"/>
      <c r="J4" s="428"/>
      <c r="K4" s="413"/>
      <c r="L4" s="194"/>
      <c r="M4" s="195"/>
    </row>
    <row r="5" spans="1:13">
      <c r="A5" s="404" t="s">
        <v>283</v>
      </c>
      <c r="B5" s="429">
        <f>+'Containment Systems'!C6+'Containment Systems'!C11+'Containment Systems'!C15</f>
        <v>51309</v>
      </c>
      <c r="C5" s="298" t="s">
        <v>281</v>
      </c>
      <c r="D5" s="299">
        <f>2645</f>
        <v>2645</v>
      </c>
      <c r="E5" s="172">
        <f>(D5*B5)</f>
        <v>135712305</v>
      </c>
      <c r="F5" s="193">
        <f>VLOOKUP(C5,'Basic Data Input'!J$29:K$32,2)</f>
        <v>0.108</v>
      </c>
      <c r="G5" s="172">
        <f>(E5*F5)</f>
        <v>14656928.939999999</v>
      </c>
      <c r="H5" s="413">
        <f>G5+G6+G7</f>
        <v>20856082.32</v>
      </c>
      <c r="I5" s="430">
        <f>H5/B5</f>
        <v>406.48</v>
      </c>
      <c r="J5" s="428">
        <v>20</v>
      </c>
      <c r="K5" s="413">
        <f>H5/J5</f>
        <v>1042804.116</v>
      </c>
      <c r="L5" s="194"/>
      <c r="M5" s="195"/>
    </row>
    <row r="6" spans="1:13">
      <c r="A6" s="404"/>
      <c r="B6" s="429"/>
      <c r="C6" s="298" t="s">
        <v>282</v>
      </c>
      <c r="D6" s="299">
        <f>422</f>
        <v>422</v>
      </c>
      <c r="E6" s="172">
        <f>D6*B5</f>
        <v>21652398</v>
      </c>
      <c r="F6" s="193">
        <f>VLOOKUP(C6,'Basic Data Input'!J$29:K$32,2)</f>
        <v>0.2</v>
      </c>
      <c r="G6" s="172">
        <f>E6*F6</f>
        <v>4330479.6000000006</v>
      </c>
      <c r="H6" s="413"/>
      <c r="I6" s="430"/>
      <c r="J6" s="428"/>
      <c r="K6" s="413"/>
      <c r="L6" s="194">
        <f>B5*11</f>
        <v>564399</v>
      </c>
      <c r="M6" s="195">
        <f>K5/L6</f>
        <v>1.8476363636363637</v>
      </c>
    </row>
    <row r="7" spans="1:13">
      <c r="A7" s="404"/>
      <c r="B7" s="429"/>
      <c r="C7" s="298" t="s">
        <v>38</v>
      </c>
      <c r="D7" s="298">
        <f>607</f>
        <v>607</v>
      </c>
      <c r="E7" s="172">
        <f>D7*B5</f>
        <v>31144563</v>
      </c>
      <c r="F7" s="193">
        <f>VLOOKUP(C7,'Basic Data Input'!J$29:K$32,2)</f>
        <v>0.06</v>
      </c>
      <c r="G7" s="172">
        <f>E7*F7</f>
        <v>1868673.78</v>
      </c>
      <c r="H7" s="413"/>
      <c r="I7" s="430"/>
      <c r="J7" s="428"/>
      <c r="K7" s="413"/>
      <c r="L7" s="194"/>
      <c r="M7" s="195"/>
    </row>
    <row r="8" spans="1:13">
      <c r="A8" s="404" t="s">
        <v>197</v>
      </c>
      <c r="B8" s="429">
        <f>+'Containment Systems'!C10</f>
        <v>57950.909090909088</v>
      </c>
      <c r="C8" s="431" t="s">
        <v>284</v>
      </c>
      <c r="D8" s="431" t="s">
        <v>285</v>
      </c>
      <c r="E8" s="431" t="s">
        <v>285</v>
      </c>
      <c r="F8" s="431" t="s">
        <v>285</v>
      </c>
      <c r="G8" s="431" t="s">
        <v>285</v>
      </c>
      <c r="H8" s="413">
        <f>+I8*B8</f>
        <v>26077909.09090909</v>
      </c>
      <c r="I8" s="432">
        <v>450</v>
      </c>
      <c r="J8" s="428">
        <v>20</v>
      </c>
      <c r="K8" s="413">
        <f>H8/J8</f>
        <v>1303895.4545454546</v>
      </c>
      <c r="L8" s="194"/>
      <c r="M8" s="195"/>
    </row>
    <row r="9" spans="1:13">
      <c r="A9" s="404"/>
      <c r="B9" s="429"/>
      <c r="C9" s="431"/>
      <c r="D9" s="431"/>
      <c r="E9" s="431"/>
      <c r="F9" s="431"/>
      <c r="G9" s="431"/>
      <c r="H9" s="413"/>
      <c r="I9" s="432"/>
      <c r="J9" s="428"/>
      <c r="K9" s="413"/>
      <c r="L9" s="194">
        <f>B8*11</f>
        <v>637460</v>
      </c>
      <c r="M9" s="195">
        <f>K8/L9</f>
        <v>2.0454545454545454</v>
      </c>
    </row>
    <row r="10" spans="1:13">
      <c r="A10" s="404"/>
      <c r="B10" s="429"/>
      <c r="C10" s="431"/>
      <c r="D10" s="431"/>
      <c r="E10" s="431"/>
      <c r="F10" s="431"/>
      <c r="G10" s="431"/>
      <c r="H10" s="413"/>
      <c r="I10" s="432"/>
      <c r="J10" s="428"/>
      <c r="K10" s="413"/>
      <c r="L10" s="194"/>
      <c r="M10" s="160"/>
    </row>
    <row r="11" spans="1:13">
      <c r="A11" s="160"/>
      <c r="B11" s="160"/>
      <c r="C11" s="160"/>
      <c r="D11" s="160"/>
      <c r="E11" s="160"/>
      <c r="F11" s="160"/>
      <c r="G11" s="160"/>
      <c r="H11" s="160"/>
      <c r="I11" s="160"/>
      <c r="J11" s="160"/>
      <c r="K11" s="160"/>
      <c r="L11" s="194"/>
      <c r="M11" s="160"/>
    </row>
    <row r="12" spans="1:13" ht="51.6" customHeight="1">
      <c r="A12" s="160"/>
      <c r="B12" s="160"/>
      <c r="C12" s="160"/>
      <c r="D12" s="160"/>
      <c r="E12" s="405" t="s">
        <v>286</v>
      </c>
      <c r="F12" s="404"/>
      <c r="G12" s="404"/>
      <c r="H12" s="179">
        <f>H2+H5+H8</f>
        <v>62260376.098909095</v>
      </c>
      <c r="I12" s="405" t="s">
        <v>287</v>
      </c>
      <c r="J12" s="405"/>
      <c r="K12" s="196">
        <f>SUM(K2:K10)</f>
        <v>4262497.6565454546</v>
      </c>
      <c r="L12" s="197">
        <f>SUM(L3:L9)</f>
        <v>1914461</v>
      </c>
      <c r="M12" s="198">
        <f>+K12/L12</f>
        <v>2.2264740083738737</v>
      </c>
    </row>
    <row r="13" spans="1:13">
      <c r="A13" s="160"/>
      <c r="B13" s="160"/>
      <c r="C13" s="160"/>
      <c r="D13" s="160"/>
      <c r="E13" s="160"/>
      <c r="F13" s="160"/>
      <c r="G13" s="160"/>
      <c r="H13" s="160"/>
      <c r="I13" s="160"/>
      <c r="J13" s="160"/>
      <c r="K13" s="160"/>
      <c r="L13" s="160"/>
      <c r="M13" s="160"/>
    </row>
    <row r="14" spans="1:13">
      <c r="A14" s="17" t="s">
        <v>154</v>
      </c>
      <c r="B14" s="17">
        <f>'Containment Systems'!C21</f>
        <v>5408</v>
      </c>
      <c r="C14" s="298" t="s">
        <v>281</v>
      </c>
      <c r="D14" s="146">
        <v>2200</v>
      </c>
      <c r="E14" s="144">
        <f>(D14*B14)</f>
        <v>11897600</v>
      </c>
      <c r="F14" s="333">
        <v>0.108</v>
      </c>
      <c r="G14" s="144">
        <f>(E14*F14)</f>
        <v>1284940.8</v>
      </c>
      <c r="H14" s="426">
        <f>G14+G15+G16</f>
        <v>1582380.8</v>
      </c>
      <c r="I14" s="427">
        <f>H14/B14</f>
        <v>292.60000000000002</v>
      </c>
      <c r="J14" s="428">
        <v>20</v>
      </c>
      <c r="K14" s="426">
        <f>H14/J14</f>
        <v>79119.040000000008</v>
      </c>
    </row>
    <row r="15" spans="1:13">
      <c r="C15" s="298" t="s">
        <v>282</v>
      </c>
      <c r="D15" s="146">
        <v>200</v>
      </c>
      <c r="E15" s="144">
        <f>D15*B14</f>
        <v>1081600</v>
      </c>
      <c r="F15" s="333">
        <v>0.2</v>
      </c>
      <c r="G15" s="144">
        <f>E15*F15</f>
        <v>216320</v>
      </c>
      <c r="H15" s="426"/>
      <c r="I15" s="427"/>
      <c r="J15" s="428"/>
      <c r="K15" s="426"/>
    </row>
    <row r="16" spans="1:13">
      <c r="C16" s="298" t="s">
        <v>38</v>
      </c>
      <c r="D16" s="135">
        <v>250</v>
      </c>
      <c r="E16" s="144">
        <f>D16*B14</f>
        <v>1352000</v>
      </c>
      <c r="F16" s="334">
        <v>0.06</v>
      </c>
      <c r="G16" s="144">
        <f>E16*F16</f>
        <v>81120</v>
      </c>
      <c r="H16" s="426"/>
      <c r="I16" s="427"/>
      <c r="J16" s="428"/>
      <c r="K16" s="426"/>
    </row>
  </sheetData>
  <mergeCells count="29">
    <mergeCell ref="E12:G12"/>
    <mergeCell ref="I12:J12"/>
    <mergeCell ref="A8:A10"/>
    <mergeCell ref="B8:B10"/>
    <mergeCell ref="C8:C10"/>
    <mergeCell ref="D8:D10"/>
    <mergeCell ref="E8:E10"/>
    <mergeCell ref="F8:F10"/>
    <mergeCell ref="G8:G10"/>
    <mergeCell ref="H8:H10"/>
    <mergeCell ref="I8:I10"/>
    <mergeCell ref="J8:J10"/>
    <mergeCell ref="K2:K4"/>
    <mergeCell ref="A5:A7"/>
    <mergeCell ref="B5:B7"/>
    <mergeCell ref="H5:H7"/>
    <mergeCell ref="I5:I7"/>
    <mergeCell ref="J5:J7"/>
    <mergeCell ref="A2:A4"/>
    <mergeCell ref="B2:B4"/>
    <mergeCell ref="H2:H4"/>
    <mergeCell ref="I2:I4"/>
    <mergeCell ref="J2:J4"/>
    <mergeCell ref="H14:H16"/>
    <mergeCell ref="I14:I16"/>
    <mergeCell ref="J14:J16"/>
    <mergeCell ref="K14:K16"/>
    <mergeCell ref="K5:K7"/>
    <mergeCell ref="K8:K1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'Basic Data Input'!$J$29:$J$32</xm:f>
          </x14:formula1>
          <xm:sqref>C2:C7 C14:C16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249977111117893"/>
  </sheetPr>
  <dimension ref="A1:M33"/>
  <sheetViews>
    <sheetView workbookViewId="0">
      <selection activeCell="F12" sqref="F12"/>
    </sheetView>
  </sheetViews>
  <sheetFormatPr defaultColWidth="8.85546875" defaultRowHeight="11.45"/>
  <cols>
    <col min="1" max="1" width="19.28515625" style="12" customWidth="1"/>
    <col min="2" max="3" width="19.85546875" style="12" customWidth="1"/>
    <col min="4" max="4" width="18.85546875" style="12" customWidth="1"/>
    <col min="5" max="5" width="18.42578125" style="12" customWidth="1"/>
    <col min="6" max="6" width="18" style="12" customWidth="1"/>
    <col min="7" max="7" width="17.7109375" style="12" customWidth="1"/>
    <col min="8" max="9" width="9.85546875" style="12" bestFit="1" customWidth="1"/>
    <col min="10" max="10" width="8.85546875" style="12"/>
    <col min="11" max="11" width="12.7109375" style="12" customWidth="1"/>
    <col min="12" max="16384" width="8.85546875" style="12"/>
  </cols>
  <sheetData>
    <row r="1" spans="1:13">
      <c r="A1" s="136"/>
      <c r="B1" s="136"/>
      <c r="C1" s="136"/>
      <c r="D1" s="136"/>
      <c r="E1" s="136"/>
      <c r="F1" s="136"/>
      <c r="G1" s="136"/>
      <c r="H1" s="136"/>
      <c r="I1" s="136"/>
      <c r="J1" s="136"/>
      <c r="K1" s="136"/>
    </row>
    <row r="2" spans="1:13" ht="12">
      <c r="A2" s="137" t="s">
        <v>288</v>
      </c>
      <c r="B2" s="137"/>
      <c r="C2" s="137"/>
      <c r="D2" s="136"/>
      <c r="E2" s="136"/>
      <c r="F2" s="136"/>
      <c r="G2" s="136"/>
      <c r="H2" s="136"/>
      <c r="I2" s="136"/>
      <c r="J2" s="136"/>
      <c r="K2" s="136"/>
    </row>
    <row r="3" spans="1:13" ht="23.1">
      <c r="A3" s="199" t="s">
        <v>289</v>
      </c>
      <c r="B3" s="185" t="s">
        <v>290</v>
      </c>
      <c r="C3" s="185" t="s">
        <v>291</v>
      </c>
      <c r="D3" s="185" t="s">
        <v>292</v>
      </c>
      <c r="E3" s="185" t="s">
        <v>293</v>
      </c>
      <c r="F3" s="200" t="s">
        <v>294</v>
      </c>
      <c r="G3" s="200" t="s">
        <v>295</v>
      </c>
      <c r="H3" s="160"/>
      <c r="I3" s="160"/>
      <c r="J3" s="160"/>
      <c r="K3" s="160"/>
    </row>
    <row r="4" spans="1:13" ht="12">
      <c r="A4" s="298" t="s">
        <v>296</v>
      </c>
      <c r="B4" s="433">
        <v>115</v>
      </c>
      <c r="C4" s="300">
        <v>39.5</v>
      </c>
      <c r="D4" s="201">
        <f>C4*365</f>
        <v>14417.5</v>
      </c>
      <c r="E4" s="434">
        <v>16</v>
      </c>
      <c r="F4" s="300">
        <f>+M4</f>
        <v>0.6</v>
      </c>
      <c r="G4" s="188">
        <f>D4*E4*F4</f>
        <v>138408</v>
      </c>
      <c r="H4" s="160"/>
      <c r="I4" s="160"/>
      <c r="J4" s="160"/>
      <c r="K4" s="160"/>
      <c r="M4" s="300">
        <v>0.6</v>
      </c>
    </row>
    <row r="5" spans="1:13" ht="12">
      <c r="A5" s="298" t="s">
        <v>297</v>
      </c>
      <c r="B5" s="433"/>
      <c r="C5" s="300">
        <v>48.1</v>
      </c>
      <c r="D5" s="201">
        <f>C5*365</f>
        <v>17556.5</v>
      </c>
      <c r="E5" s="434"/>
      <c r="F5" s="300">
        <f>+M5</f>
        <v>0.8</v>
      </c>
      <c r="G5" s="188">
        <f>D5*E4*F5</f>
        <v>224723.20000000001</v>
      </c>
      <c r="H5" s="160"/>
      <c r="I5" s="160"/>
      <c r="J5" s="160"/>
      <c r="K5" s="160"/>
      <c r="M5" s="300">
        <v>0.8</v>
      </c>
    </row>
    <row r="6" spans="1:13" ht="12">
      <c r="A6" s="298" t="s">
        <v>298</v>
      </c>
      <c r="B6" s="433"/>
      <c r="C6" s="300">
        <v>5.0999999999999996</v>
      </c>
      <c r="D6" s="201">
        <f>C6*365</f>
        <v>1861.4999999999998</v>
      </c>
      <c r="E6" s="434"/>
      <c r="F6" s="300">
        <f>+M6</f>
        <v>0.8</v>
      </c>
      <c r="G6" s="188">
        <f>D6*E4*F6</f>
        <v>23827.199999999997</v>
      </c>
      <c r="H6" s="160"/>
      <c r="I6" s="160"/>
      <c r="J6" s="160"/>
      <c r="K6" s="160"/>
      <c r="M6" s="300">
        <v>0.8</v>
      </c>
    </row>
    <row r="7" spans="1:13" ht="12">
      <c r="A7" s="298" t="s">
        <v>299</v>
      </c>
      <c r="B7" s="433"/>
      <c r="C7" s="300">
        <v>22.3</v>
      </c>
      <c r="D7" s="201">
        <f>C7*365</f>
        <v>8139.5</v>
      </c>
      <c r="E7" s="434"/>
      <c r="F7" s="300">
        <f>+M7</f>
        <v>1</v>
      </c>
      <c r="G7" s="188">
        <f>D7*E4*F7</f>
        <v>130232</v>
      </c>
      <c r="H7" s="160"/>
      <c r="I7" s="160"/>
      <c r="J7" s="160"/>
      <c r="K7" s="160"/>
      <c r="M7" s="300">
        <v>1</v>
      </c>
    </row>
    <row r="8" spans="1:13">
      <c r="A8" s="202"/>
      <c r="B8" s="203"/>
      <c r="C8" s="203"/>
      <c r="D8" s="203"/>
      <c r="E8" s="204"/>
      <c r="F8" s="203"/>
      <c r="G8" s="205"/>
      <c r="H8" s="160"/>
      <c r="I8" s="160"/>
      <c r="J8" s="160"/>
      <c r="K8" s="160"/>
    </row>
    <row r="9" spans="1:13" ht="20.100000000000001">
      <c r="A9" s="160"/>
      <c r="B9" s="206"/>
      <c r="C9" s="207" t="s">
        <v>300</v>
      </c>
      <c r="D9" s="184">
        <f>SUM(D4:D7)</f>
        <v>41975</v>
      </c>
      <c r="E9" s="208"/>
      <c r="F9" s="206"/>
      <c r="G9" s="206"/>
      <c r="H9" s="160"/>
      <c r="I9" s="160"/>
      <c r="J9" s="160"/>
      <c r="K9" s="160"/>
    </row>
    <row r="10" spans="1:13" ht="20.100000000000001">
      <c r="A10" s="160"/>
      <c r="B10" s="206"/>
      <c r="C10" s="209"/>
      <c r="D10" s="207" t="s">
        <v>301</v>
      </c>
      <c r="E10" s="208">
        <f>D9*E4</f>
        <v>671600</v>
      </c>
      <c r="F10" s="206"/>
      <c r="G10" s="207" t="s">
        <v>302</v>
      </c>
      <c r="H10" s="207" t="s">
        <v>303</v>
      </c>
      <c r="I10" s="207" t="s">
        <v>10</v>
      </c>
      <c r="J10" s="160"/>
      <c r="K10" s="160"/>
    </row>
    <row r="11" spans="1:13">
      <c r="A11" s="160"/>
      <c r="B11" s="210"/>
      <c r="C11" s="211"/>
      <c r="D11" s="211" t="s">
        <v>304</v>
      </c>
      <c r="E11" s="212"/>
      <c r="F11" s="211"/>
      <c r="G11" s="213">
        <f>+I11-H11</f>
        <v>173815.70370370377</v>
      </c>
      <c r="H11" s="213">
        <f>+H12*H13</f>
        <v>343374.69629629626</v>
      </c>
      <c r="I11" s="214">
        <f>SUM(G4:G7)</f>
        <v>517190.40000000002</v>
      </c>
      <c r="J11" s="160"/>
      <c r="K11" s="160"/>
    </row>
    <row r="12" spans="1:13">
      <c r="A12" s="160"/>
      <c r="B12" s="210"/>
      <c r="C12" s="211"/>
      <c r="D12" s="211"/>
      <c r="E12" s="211"/>
      <c r="F12" s="160" t="s">
        <v>305</v>
      </c>
      <c r="G12" s="213">
        <f>+'Basic Data Input'!L9/'Basic Data Input'!K16</f>
        <v>37500</v>
      </c>
      <c r="H12" s="213">
        <f>+'Basic Data Input'!L7/'Basic Data Input'!K16</f>
        <v>165000</v>
      </c>
      <c r="I12" s="213">
        <f>+G12+H12</f>
        <v>202500</v>
      </c>
      <c r="J12" s="160" t="s">
        <v>306</v>
      </c>
      <c r="K12" s="160"/>
    </row>
    <row r="13" spans="1:13">
      <c r="A13" s="160"/>
      <c r="B13" s="160"/>
      <c r="C13" s="160"/>
      <c r="D13" s="160"/>
      <c r="E13" s="160"/>
      <c r="F13" s="211" t="s">
        <v>307</v>
      </c>
      <c r="G13" s="215">
        <f>+(I11/I12)*(G12/I12)</f>
        <v>0.47296790123456789</v>
      </c>
      <c r="H13" s="216">
        <f>+(I11/I12)*(H12/I12)</f>
        <v>2.0810587654320987</v>
      </c>
      <c r="I13" s="217">
        <f>+I11/I12</f>
        <v>2.5540266666666667</v>
      </c>
      <c r="J13" s="160"/>
      <c r="K13" s="160"/>
    </row>
    <row r="14" spans="1:13">
      <c r="A14" s="160"/>
      <c r="B14" s="160"/>
      <c r="C14" s="160"/>
      <c r="D14" s="160"/>
      <c r="E14" s="160"/>
      <c r="F14" s="160"/>
      <c r="G14" s="160"/>
      <c r="H14" s="160"/>
      <c r="I14" s="160"/>
      <c r="J14" s="160"/>
      <c r="K14" s="160"/>
    </row>
    <row r="15" spans="1:13">
      <c r="A15" s="17"/>
      <c r="B15" s="17"/>
      <c r="C15" s="17"/>
      <c r="D15" s="17"/>
      <c r="E15" s="17"/>
      <c r="F15" s="17"/>
      <c r="G15" s="17"/>
      <c r="H15" s="17"/>
      <c r="I15" s="17"/>
      <c r="J15" s="17"/>
      <c r="K15" s="17"/>
    </row>
    <row r="16" spans="1:13">
      <c r="B16" s="17"/>
      <c r="C16" s="17"/>
      <c r="D16" s="17"/>
      <c r="E16" s="17"/>
      <c r="F16" s="17"/>
      <c r="G16" s="17"/>
      <c r="H16" s="17"/>
      <c r="I16" s="17"/>
      <c r="J16" s="17"/>
      <c r="K16" s="17"/>
    </row>
    <row r="17" spans="1:11" ht="20.100000000000001">
      <c r="B17" s="17"/>
      <c r="C17" s="17"/>
      <c r="D17" s="17"/>
      <c r="E17" s="17"/>
      <c r="F17" s="17"/>
      <c r="G17" s="207" t="s">
        <v>308</v>
      </c>
      <c r="H17" s="207" t="s">
        <v>50</v>
      </c>
      <c r="I17" s="207" t="s">
        <v>10</v>
      </c>
      <c r="J17" s="17"/>
      <c r="K17" s="17"/>
    </row>
    <row r="18" spans="1:11">
      <c r="B18" s="17"/>
      <c r="C18" s="17"/>
      <c r="D18" s="211" t="s">
        <v>309</v>
      </c>
      <c r="E18" s="212"/>
      <c r="F18" s="211"/>
      <c r="G18" s="213">
        <v>0</v>
      </c>
      <c r="H18" s="213">
        <v>0</v>
      </c>
      <c r="I18" s="214">
        <f>SUM(G18:H18)</f>
        <v>0</v>
      </c>
      <c r="J18" s="17"/>
      <c r="K18" s="17"/>
    </row>
    <row r="19" spans="1:11">
      <c r="A19" s="17"/>
      <c r="B19" s="17"/>
      <c r="C19" s="17"/>
      <c r="D19" s="211"/>
      <c r="E19" s="211"/>
      <c r="F19" s="160" t="s">
        <v>305</v>
      </c>
      <c r="G19" s="213">
        <f>+'Basic Data Input'!L8</f>
        <v>112500</v>
      </c>
      <c r="H19" s="213">
        <f>+'Basic Data Input'!L5</f>
        <v>180000</v>
      </c>
      <c r="I19" s="213">
        <f>SUM(G19:H19)</f>
        <v>292500</v>
      </c>
      <c r="J19" s="17"/>
      <c r="K19" s="17"/>
    </row>
    <row r="20" spans="1:11">
      <c r="A20" s="17"/>
      <c r="B20" s="17"/>
      <c r="C20" s="17"/>
      <c r="D20" s="160"/>
      <c r="E20" s="160"/>
      <c r="F20" s="211" t="s">
        <v>307</v>
      </c>
      <c r="G20" s="215">
        <f>+G18/G19</f>
        <v>0</v>
      </c>
      <c r="H20" s="215">
        <f>+H18/H19</f>
        <v>0</v>
      </c>
      <c r="I20" s="215">
        <f>+I18/I19</f>
        <v>0</v>
      </c>
      <c r="J20" s="17"/>
      <c r="K20" s="17"/>
    </row>
    <row r="21" spans="1:11">
      <c r="A21" s="17"/>
      <c r="B21" s="17"/>
      <c r="C21" s="17"/>
      <c r="D21" s="160"/>
      <c r="E21" s="160"/>
      <c r="F21" s="160"/>
      <c r="G21" s="160"/>
      <c r="H21" s="160"/>
      <c r="I21" s="160"/>
      <c r="J21" s="17"/>
      <c r="K21" s="17"/>
    </row>
    <row r="22" spans="1:11">
      <c r="A22" s="17"/>
      <c r="B22" s="17"/>
      <c r="C22" s="17"/>
      <c r="D22" s="17"/>
      <c r="E22" s="17"/>
      <c r="F22" s="17"/>
      <c r="G22" s="17"/>
      <c r="H22" s="17"/>
      <c r="I22" s="17"/>
      <c r="J22" s="17"/>
      <c r="K22" s="17"/>
    </row>
    <row r="24" spans="1:11">
      <c r="A24" s="18"/>
    </row>
    <row r="25" spans="1:11">
      <c r="A25" s="18"/>
    </row>
    <row r="26" spans="1:11">
      <c r="A26" s="18" t="s">
        <v>310</v>
      </c>
      <c r="B26" s="136"/>
      <c r="C26" s="136"/>
      <c r="D26" s="136"/>
      <c r="E26" s="136"/>
      <c r="F26" s="136"/>
      <c r="G26" s="136"/>
    </row>
    <row r="27" spans="1:11" ht="21">
      <c r="A27" s="177"/>
      <c r="B27" s="170" t="s">
        <v>311</v>
      </c>
      <c r="C27" s="170" t="s">
        <v>312</v>
      </c>
      <c r="D27" s="170" t="s">
        <v>313</v>
      </c>
      <c r="E27" s="170" t="s">
        <v>314</v>
      </c>
      <c r="F27" s="170" t="s">
        <v>315</v>
      </c>
      <c r="G27" s="141"/>
    </row>
    <row r="28" spans="1:11">
      <c r="A28" s="177" t="s">
        <v>316</v>
      </c>
      <c r="B28" s="335">
        <v>0</v>
      </c>
      <c r="C28" s="310">
        <v>2.5499999999999998</v>
      </c>
      <c r="D28" s="160">
        <f>+B28*C28</f>
        <v>0</v>
      </c>
      <c r="E28" s="194">
        <f>'Basic Data Input'!L5+'Basic Data Input'!L8</f>
        <v>292500</v>
      </c>
      <c r="F28" s="336">
        <f>+D28/E28</f>
        <v>0</v>
      </c>
      <c r="G28" s="136"/>
    </row>
    <row r="29" spans="1:11" ht="21">
      <c r="A29" s="177"/>
      <c r="B29" s="170" t="s">
        <v>317</v>
      </c>
      <c r="C29" s="170" t="s">
        <v>318</v>
      </c>
      <c r="D29" s="160"/>
      <c r="E29" s="194"/>
      <c r="F29" s="336"/>
      <c r="G29" s="136"/>
    </row>
    <row r="30" spans="1:11">
      <c r="A30" s="177" t="s">
        <v>319</v>
      </c>
      <c r="B30" s="279">
        <f>2232/1000*12</f>
        <v>26.784000000000002</v>
      </c>
      <c r="C30" s="310">
        <f>0.91</f>
        <v>0.91</v>
      </c>
      <c r="D30" s="194">
        <f>+B30*C30*1000</f>
        <v>24373.440000000002</v>
      </c>
      <c r="E30" s="194">
        <f>E28</f>
        <v>292500</v>
      </c>
      <c r="F30" s="336">
        <f>+D30/E30</f>
        <v>8.3328000000000013E-2</v>
      </c>
      <c r="G30" s="136"/>
    </row>
    <row r="31" spans="1:11">
      <c r="A31" s="160"/>
      <c r="B31" s="160"/>
      <c r="C31" s="160"/>
      <c r="D31" s="160"/>
      <c r="E31" s="160"/>
      <c r="F31" s="336"/>
      <c r="G31" s="136"/>
    </row>
    <row r="32" spans="1:11">
      <c r="A32" s="177" t="s">
        <v>10</v>
      </c>
      <c r="B32" s="160"/>
      <c r="C32" s="160"/>
      <c r="D32" s="182">
        <f>+D28+D30</f>
        <v>24373.440000000002</v>
      </c>
      <c r="E32" s="160"/>
      <c r="F32" s="337">
        <f>+D32/E28</f>
        <v>8.3328000000000013E-2</v>
      </c>
      <c r="G32" s="136"/>
    </row>
    <row r="33" spans="1:7">
      <c r="A33" s="136"/>
      <c r="B33" s="136"/>
      <c r="C33" s="136"/>
      <c r="D33" s="136"/>
      <c r="E33" s="136"/>
      <c r="F33" s="136"/>
      <c r="G33" s="136"/>
    </row>
  </sheetData>
  <mergeCells count="2">
    <mergeCell ref="B4:B7"/>
    <mergeCell ref="E4:E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E4DCC328D23B4FA3AD3A5503498F5E" ma:contentTypeVersion="14" ma:contentTypeDescription="Create a new document." ma:contentTypeScope="" ma:versionID="e0fb03e9e9a00ff11919b08cac7c0e7a">
  <xsd:schema xmlns:xsd="http://www.w3.org/2001/XMLSchema" xmlns:xs="http://www.w3.org/2001/XMLSchema" xmlns:p="http://schemas.microsoft.com/office/2006/metadata/properties" xmlns:ns3="2277f942-57bc-4842-9abd-6208e6ec21c3" xmlns:ns4="a61711b9-d6f7-43f6-b6ec-4381761afe6d" targetNamespace="http://schemas.microsoft.com/office/2006/metadata/properties" ma:root="true" ma:fieldsID="31afdb5e567d1bb3b9d145a0ad5dca2c" ns3:_="" ns4:_="">
    <xsd:import namespace="2277f942-57bc-4842-9abd-6208e6ec21c3"/>
    <xsd:import namespace="a61711b9-d6f7-43f6-b6ec-4381761afe6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77f942-57bc-4842-9abd-6208e6ec21c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1711b9-d6f7-43f6-b6ec-4381761afe6d"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7BD422-B2A1-4634-82B6-FDA2E15F7B9E}"/>
</file>

<file path=customXml/itemProps2.xml><?xml version="1.0" encoding="utf-8"?>
<ds:datastoreItem xmlns:ds="http://schemas.openxmlformats.org/officeDocument/2006/customXml" ds:itemID="{620CB49B-F9F3-4BFF-8FD2-2E04F03F9373}"/>
</file>

<file path=customXml/itemProps3.xml><?xml version="1.0" encoding="utf-8"?>
<ds:datastoreItem xmlns:ds="http://schemas.openxmlformats.org/officeDocument/2006/customXml" ds:itemID="{476F603B-F975-43FC-82D0-850F123D53EF}"/>
</file>

<file path=docProps/app.xml><?xml version="1.0" encoding="utf-8"?>
<Properties xmlns="http://schemas.openxmlformats.org/officeDocument/2006/extended-properties" xmlns:vt="http://schemas.openxmlformats.org/officeDocument/2006/docPropsVTypes">
  <Application>Microsoft Excel Online</Application>
  <Manager/>
  <Company>University of Leeds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Barbara Evans</dc:creator>
  <cp:keywords/>
  <dc:description/>
  <cp:lastModifiedBy>Barbara Evans</cp:lastModifiedBy>
  <cp:revision/>
  <dcterms:created xsi:type="dcterms:W3CDTF">2019-04-05T09:36:48Z</dcterms:created>
  <dcterms:modified xsi:type="dcterms:W3CDTF">2022-02-27T10:57:15Z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0x01010099E4DCC328D23B4FA3AD3A5503498F5E</vt:lpwstr>
  </property>
</Properties>
</file>