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Documents\!PhD Coronatime\!Data\2020 Hybrid membranes\FLIM only\"/>
    </mc:Choice>
  </mc:AlternateContent>
  <xr:revisionPtr revIDLastSave="0" documentId="13_ncr:1_{592D37F6-0158-446F-A30C-032B481B87E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tanda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K4" i="1" l="1"/>
  <c r="K5" i="1"/>
  <c r="K11" i="1" l="1"/>
  <c r="L11" i="1" s="1"/>
  <c r="M11" i="1" s="1"/>
  <c r="N11" i="1" s="1"/>
  <c r="K10" i="1"/>
  <c r="K8" i="1"/>
  <c r="L8" i="1" s="1"/>
  <c r="M8" i="1" s="1"/>
  <c r="N8" i="1" s="1"/>
  <c r="L5" i="1"/>
  <c r="M5" i="1" s="1"/>
  <c r="R11" i="1"/>
  <c r="I11" i="1"/>
  <c r="F11" i="1"/>
  <c r="C11" i="1"/>
  <c r="D11" i="1" s="1"/>
  <c r="R8" i="1"/>
  <c r="H8" i="1"/>
  <c r="I8" i="1" s="1"/>
  <c r="F8" i="1"/>
  <c r="C8" i="1"/>
  <c r="D8" i="1" s="1"/>
  <c r="R5" i="1"/>
  <c r="I5" i="1"/>
  <c r="F5" i="1"/>
  <c r="C5" i="1"/>
  <c r="D5" i="1" s="1"/>
  <c r="H4" i="1"/>
  <c r="H7" i="1"/>
  <c r="R10" i="1"/>
  <c r="R7" i="1"/>
  <c r="R4" i="1"/>
  <c r="N5" i="1" l="1"/>
  <c r="O11" i="1"/>
  <c r="U11" i="1" s="1"/>
  <c r="O5" i="1"/>
  <c r="U5" i="1" s="1"/>
  <c r="O8" i="1"/>
  <c r="L7" i="1"/>
  <c r="M7" i="1" s="1"/>
  <c r="I7" i="1"/>
  <c r="F7" i="1"/>
  <c r="C7" i="1"/>
  <c r="D7" i="1" s="1"/>
  <c r="L4" i="1"/>
  <c r="M4" i="1" s="1"/>
  <c r="I4" i="1"/>
  <c r="F4" i="1"/>
  <c r="C4" i="1"/>
  <c r="D4" i="1" s="1"/>
  <c r="N4" i="1" l="1"/>
  <c r="N7" i="1"/>
  <c r="P5" i="1"/>
  <c r="Q5" i="1" s="1"/>
  <c r="S5" i="1" s="1"/>
  <c r="T5" i="1" s="1"/>
  <c r="P11" i="1"/>
  <c r="Q11" i="1" s="1"/>
  <c r="S11" i="1" s="1"/>
  <c r="T11" i="1" s="1"/>
  <c r="X11" i="1"/>
  <c r="Y11" i="1" s="1"/>
  <c r="Z11" i="1" s="1"/>
  <c r="W11" i="1"/>
  <c r="V11" i="1"/>
  <c r="U8" i="1"/>
  <c r="P8" i="1"/>
  <c r="Q8" i="1" s="1"/>
  <c r="S8" i="1" s="1"/>
  <c r="T8" i="1" s="1"/>
  <c r="V5" i="1"/>
  <c r="X5" i="1"/>
  <c r="Y5" i="1" s="1"/>
  <c r="Z5" i="1" s="1"/>
  <c r="W5" i="1"/>
  <c r="O4" i="1"/>
  <c r="P4" i="1" s="1"/>
  <c r="Q4" i="1" s="1"/>
  <c r="S4" i="1" s="1"/>
  <c r="T4" i="1" s="1"/>
  <c r="O7" i="1"/>
  <c r="U7" i="1" s="1"/>
  <c r="V8" i="1" l="1"/>
  <c r="W8" i="1"/>
  <c r="X8" i="1"/>
  <c r="Y8" i="1" s="1"/>
  <c r="Z8" i="1" s="1"/>
  <c r="P7" i="1"/>
  <c r="Q7" i="1" s="1"/>
  <c r="S7" i="1" s="1"/>
  <c r="T7" i="1" s="1"/>
  <c r="U4" i="1"/>
  <c r="X4" i="1" s="1"/>
  <c r="Y4" i="1" s="1"/>
  <c r="Z4" i="1" s="1"/>
  <c r="X7" i="1"/>
  <c r="Y7" i="1" s="1"/>
  <c r="Z7" i="1" s="1"/>
  <c r="W7" i="1"/>
  <c r="V7" i="1"/>
  <c r="V4" i="1" l="1"/>
  <c r="W4" i="1"/>
  <c r="L10" i="1"/>
  <c r="M10" i="1" s="1"/>
  <c r="I10" i="1" l="1"/>
  <c r="O10" i="1" s="1"/>
  <c r="C10" i="1"/>
  <c r="D10" i="1" s="1"/>
  <c r="F10" i="1"/>
  <c r="N10" i="1" s="1"/>
  <c r="P10" i="1" l="1"/>
  <c r="Q10" i="1" s="1"/>
  <c r="S10" i="1" s="1"/>
  <c r="U10" i="1"/>
  <c r="X10" i="1" s="1"/>
  <c r="Y10" i="1" s="1"/>
  <c r="Z10" i="1" s="1"/>
  <c r="T10" i="1" l="1"/>
  <c r="V10" i="1"/>
  <c r="W10" i="1"/>
</calcChain>
</file>

<file path=xl/sharedStrings.xml><?xml version="1.0" encoding="utf-8"?>
<sst xmlns="http://schemas.openxmlformats.org/spreadsheetml/2006/main" count="92" uniqueCount="83">
  <si>
    <t>laser spot diameter</t>
  </si>
  <si>
    <t>(nm)</t>
  </si>
  <si>
    <t>laser spot area</t>
  </si>
  <si>
    <r>
      <t>(m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)</t>
    </r>
  </si>
  <si>
    <t>Laser pulse FWHM</t>
  </si>
  <si>
    <t>(ps)</t>
  </si>
  <si>
    <t>(s)</t>
  </si>
  <si>
    <r>
      <t>(W=J.s</t>
    </r>
    <r>
      <rPr>
        <b/>
        <vertAlign val="superscript"/>
        <sz val="10"/>
        <color theme="1"/>
        <rFont val="Arial"/>
        <family val="2"/>
      </rPr>
      <t>-1</t>
    </r>
    <r>
      <rPr>
        <b/>
        <sz val="10"/>
        <color theme="1"/>
        <rFont val="Arial"/>
        <family val="2"/>
      </rPr>
      <t>)</t>
    </r>
  </si>
  <si>
    <t>(Hz)</t>
  </si>
  <si>
    <t>wavelength, λ</t>
  </si>
  <si>
    <t>freq, ν</t>
  </si>
  <si>
    <t>energy per photon, hν</t>
  </si>
  <si>
    <t>(J)</t>
  </si>
  <si>
    <t>(keV)</t>
  </si>
  <si>
    <t>(J/pulse)</t>
  </si>
  <si>
    <t>(pJ/pulse)</t>
  </si>
  <si>
    <r>
      <t>(J/m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)</t>
    </r>
  </si>
  <si>
    <r>
      <t>(mJ/cm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)</t>
    </r>
  </si>
  <si>
    <t>photon per pulse</t>
  </si>
  <si>
    <t>(hv/pulse)</t>
  </si>
  <si>
    <r>
      <t>(hv/pulse/m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)</t>
    </r>
  </si>
  <si>
    <r>
      <t>(hv/pulse/cm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)</t>
    </r>
  </si>
  <si>
    <t>excitation in photons per pulse per unit area</t>
  </si>
  <si>
    <t xml:space="preserve">rep rate </t>
  </si>
  <si>
    <t>(MHz)</t>
  </si>
  <si>
    <t>this gives the same values for pulse energy and photons per pulse</t>
  </si>
  <si>
    <t>Fluence (no losses)</t>
  </si>
  <si>
    <t>constants</t>
  </si>
  <si>
    <t>c, speed of light (m/s)</t>
  </si>
  <si>
    <t>h, Planck (m2 kg / s)</t>
  </si>
  <si>
    <t>formulae</t>
  </si>
  <si>
    <t>ν=c/λ</t>
  </si>
  <si>
    <t>E=hν</t>
  </si>
  <si>
    <t>Calculated pulse energy (after losses and ND filter)</t>
  </si>
  <si>
    <t>ALTERNATIVE:</t>
  </si>
  <si>
    <t xml:space="preserve">use online calculator, see: </t>
  </si>
  <si>
    <t>http://www.calctool.org/CALC/phys/optics/pulsed_source</t>
  </si>
  <si>
    <r>
      <rPr>
        <b/>
        <sz val="10"/>
        <color theme="1"/>
        <rFont val="Arial"/>
        <family val="2"/>
      </rPr>
      <t xml:space="preserve">peak power estimation </t>
    </r>
    <r>
      <rPr>
        <sz val="10"/>
        <color theme="1"/>
        <rFont val="Arial"/>
        <family val="2"/>
      </rPr>
      <t>= (measured average power) / (duty cycle)</t>
    </r>
  </si>
  <si>
    <t>Peak power (calculated)</t>
  </si>
  <si>
    <r>
      <t>mJ/m</t>
    </r>
    <r>
      <rPr>
        <b/>
        <vertAlign val="superscript"/>
        <sz val="10"/>
        <color theme="1"/>
        <rFont val="Arial"/>
        <family val="2"/>
      </rPr>
      <t>2</t>
    </r>
  </si>
  <si>
    <t>Laser power converstion (uW/arb)</t>
  </si>
  <si>
    <t>Laser settings</t>
  </si>
  <si>
    <t>405/485</t>
  </si>
  <si>
    <t>485/560</t>
  </si>
  <si>
    <t>485/640</t>
  </si>
  <si>
    <t>-</t>
  </si>
  <si>
    <t>Laser/DC</t>
  </si>
  <si>
    <t>Setup dependant constants</t>
  </si>
  <si>
    <t>Final Calculated values</t>
  </si>
  <si>
    <t>conversion from a.u. to uW</t>
  </si>
  <si>
    <t xml:space="preserve">pulse widths for different lasers </t>
  </si>
  <si>
    <t>Laser</t>
  </si>
  <si>
    <t>pw FHWM (ps)</t>
  </si>
  <si>
    <t>Objective lens losses</t>
  </si>
  <si>
    <t>UPLSAPO 60XW</t>
  </si>
  <si>
    <t>UPLSAPO 100XO</t>
  </si>
  <si>
    <t>PFLN 100X</t>
  </si>
  <si>
    <t>reference values</t>
  </si>
  <si>
    <t>"low fluence"</t>
  </si>
  <si>
    <t>Fluence</t>
  </si>
  <si>
    <t>pulse energy</t>
  </si>
  <si>
    <t>"moderate fluence"</t>
  </si>
  <si>
    <t>Description</t>
  </si>
  <si>
    <t>"high fluence"</t>
  </si>
  <si>
    <t>pulse photons</t>
  </si>
  <si>
    <r>
      <t>excitation fluence [no losses]</t>
    </r>
    <r>
      <rPr>
        <sz val="10"/>
        <color theme="1"/>
        <rFont val="Arial"/>
        <family val="2"/>
      </rPr>
      <t xml:space="preserve"> = (peak power) x (pulse FHWM) / (laser spot area)</t>
    </r>
  </si>
  <si>
    <r>
      <rPr>
        <b/>
        <sz val="10"/>
        <color theme="1"/>
        <rFont val="Arial"/>
        <family val="2"/>
      </rPr>
      <t>duty cycle</t>
    </r>
    <r>
      <rPr>
        <sz val="10"/>
        <color theme="1"/>
        <rFont val="Arial"/>
        <family val="2"/>
      </rPr>
      <t xml:space="preserve"> = (pulse width) / (pulse period) = (pulse width) x (rep rate)</t>
    </r>
  </si>
  <si>
    <t>For PIE measurements</t>
  </si>
  <si>
    <t>Measure each laser output independently using average power readout before opening the detector shutters</t>
  </si>
  <si>
    <t xml:space="preserve">Switching from standard mode to PIE mode, reduces the individual pulse rate by a factor of N, where N is the number of active lasers </t>
  </si>
  <si>
    <t>To keep individual laser pulse rate constant, double/triple the pulse rate setting in the SPT software</t>
  </si>
  <si>
    <t>Otherwise, account for the reduction of pulse rate in the calculation of each individual excitation fluence</t>
  </si>
  <si>
    <t>NOTES</t>
  </si>
  <si>
    <t>Obj. loss (estimated) from readout to sample</t>
  </si>
  <si>
    <t>Fluence (after obj. loss)</t>
  </si>
  <si>
    <t>Average laser power output before obj. (arb)</t>
  </si>
  <si>
    <t>Average laser power output before obj. (uW)</t>
  </si>
  <si>
    <t>Average laser power output before obj. (W)</t>
  </si>
  <si>
    <t>560/640 PIE for Thy/Poly samples</t>
  </si>
  <si>
    <t>485/640 PIE for Thy/Poly samples</t>
  </si>
  <si>
    <t>Average Intensity (W/cm-2)</t>
  </si>
  <si>
    <t>485/560 PIE for Thy/TR samles</t>
  </si>
  <si>
    <t>Spreadsheet for the calculation of excitation energy (fluence) using the arbitrary units power output provided from the SPT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</si>
</sst>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9D8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11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4" fillId="0" borderId="0" xfId="1"/>
    <xf numFmtId="0" fontId="3" fillId="0" borderId="0" xfId="0" applyFont="1"/>
    <xf numFmtId="0" fontId="0" fillId="0" borderId="0" xfId="0" applyFill="1"/>
    <xf numFmtId="0" fontId="1" fillId="0" borderId="1" xfId="0" applyFont="1" applyFill="1" applyBorder="1" applyAlignment="1">
      <alignment horizontal="right"/>
    </xf>
    <xf numFmtId="1" fontId="0" fillId="0" borderId="1" xfId="0" applyNumberFormat="1" applyFill="1" applyBorder="1"/>
    <xf numFmtId="11" fontId="0" fillId="0" borderId="1" xfId="0" applyNumberFormat="1" applyFill="1" applyBorder="1"/>
    <xf numFmtId="2" fontId="0" fillId="0" borderId="1" xfId="0" applyNumberFormat="1" applyFill="1" applyBorder="1"/>
    <xf numFmtId="11" fontId="0" fillId="0" borderId="0" xfId="0" applyNumberFormat="1" applyFill="1"/>
    <xf numFmtId="164" fontId="0" fillId="0" borderId="1" xfId="0" applyNumberFormat="1" applyFill="1" applyBorder="1"/>
    <xf numFmtId="11" fontId="0" fillId="2" borderId="1" xfId="0" applyNumberFormat="1" applyFill="1" applyBorder="1"/>
    <xf numFmtId="2" fontId="0" fillId="2" borderId="1" xfId="0" applyNumberFormat="1" applyFill="1" applyBorder="1"/>
    <xf numFmtId="0" fontId="0" fillId="0" borderId="1" xfId="0" applyFill="1" applyBorder="1"/>
    <xf numFmtId="1" fontId="6" fillId="0" borderId="1" xfId="0" applyNumberFormat="1" applyFont="1" applyFill="1" applyBorder="1"/>
    <xf numFmtId="164" fontId="0" fillId="0" borderId="1" xfId="0" applyNumberFormat="1" applyFont="1" applyFill="1" applyBorder="1"/>
    <xf numFmtId="11" fontId="0" fillId="0" borderId="1" xfId="0" applyNumberFormat="1" applyFont="1" applyFill="1" applyBorder="1"/>
    <xf numFmtId="0" fontId="5" fillId="0" borderId="1" xfId="0" applyFont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0" fillId="4" borderId="0" xfId="0" applyFill="1"/>
    <xf numFmtId="11" fontId="0" fillId="4" borderId="1" xfId="0" applyNumberFormat="1" applyFill="1" applyBorder="1"/>
    <xf numFmtId="1" fontId="3" fillId="4" borderId="1" xfId="0" applyNumberFormat="1" applyFont="1" applyFill="1" applyBorder="1"/>
    <xf numFmtId="2" fontId="0" fillId="4" borderId="1" xfId="0" applyNumberFormat="1" applyFill="1" applyBorder="1"/>
    <xf numFmtId="164" fontId="0" fillId="4" borderId="1" xfId="0" applyNumberFormat="1" applyFill="1" applyBorder="1"/>
    <xf numFmtId="11" fontId="0" fillId="4" borderId="1" xfId="0" applyNumberFormat="1" applyFont="1" applyFill="1" applyBorder="1"/>
    <xf numFmtId="1" fontId="0" fillId="4" borderId="1" xfId="0" applyNumberFormat="1" applyFill="1" applyBorder="1"/>
    <xf numFmtId="0" fontId="1" fillId="5" borderId="1" xfId="0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0" xfId="0" applyFill="1"/>
    <xf numFmtId="0" fontId="0" fillId="5" borderId="0" xfId="0" applyFill="1"/>
    <xf numFmtId="11" fontId="0" fillId="5" borderId="1" xfId="0" applyNumberFormat="1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164" fontId="0" fillId="5" borderId="1" xfId="0" applyNumberFormat="1" applyFont="1" applyFill="1" applyBorder="1"/>
    <xf numFmtId="1" fontId="6" fillId="5" borderId="1" xfId="0" applyNumberFormat="1" applyFont="1" applyFill="1" applyBorder="1"/>
    <xf numFmtId="0" fontId="6" fillId="0" borderId="0" xfId="0" applyFont="1" applyFill="1"/>
    <xf numFmtId="0" fontId="6" fillId="0" borderId="1" xfId="0" applyFont="1" applyFill="1" applyBorder="1"/>
    <xf numFmtId="11" fontId="6" fillId="0" borderId="1" xfId="0" applyNumberFormat="1" applyFont="1" applyFill="1" applyBorder="1"/>
    <xf numFmtId="2" fontId="6" fillId="0" borderId="1" xfId="0" applyNumberFormat="1" applyFont="1" applyFill="1" applyBorder="1"/>
    <xf numFmtId="164" fontId="6" fillId="0" borderId="1" xfId="0" applyNumberFormat="1" applyFont="1" applyFill="1" applyBorder="1"/>
    <xf numFmtId="0" fontId="0" fillId="0" borderId="0" xfId="0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8" borderId="1" xfId="0" applyFill="1" applyBorder="1" applyAlignment="1">
      <alignment horizontal="left"/>
    </xf>
    <xf numFmtId="11" fontId="0" fillId="0" borderId="1" xfId="0" applyNumberFormat="1" applyBorder="1" applyAlignment="1">
      <alignment horizontal="left"/>
    </xf>
    <xf numFmtId="0" fontId="0" fillId="0" borderId="0" xfId="0" applyFont="1"/>
    <xf numFmtId="0" fontId="0" fillId="0" borderId="0" xfId="0" applyFont="1" applyFill="1" applyBorder="1" applyAlignment="1">
      <alignment horizontal="left"/>
    </xf>
    <xf numFmtId="1" fontId="3" fillId="0" borderId="1" xfId="0" applyNumberFormat="1" applyFont="1" applyFill="1" applyBorder="1"/>
    <xf numFmtId="1" fontId="0" fillId="0" borderId="1" xfId="0" applyNumberFormat="1" applyFont="1" applyFill="1" applyBorder="1"/>
    <xf numFmtId="0" fontId="5" fillId="9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right"/>
    </xf>
    <xf numFmtId="164" fontId="0" fillId="9" borderId="1" xfId="0" applyNumberFormat="1" applyFont="1" applyFill="1" applyBorder="1"/>
    <xf numFmtId="1" fontId="0" fillId="9" borderId="1" xfId="0" applyNumberFormat="1" applyFont="1" applyFill="1" applyBorder="1"/>
    <xf numFmtId="2" fontId="0" fillId="9" borderId="1" xfId="0" applyNumberFormat="1" applyFill="1" applyBorder="1"/>
    <xf numFmtId="0" fontId="0" fillId="9" borderId="0" xfId="0" applyFill="1"/>
    <xf numFmtId="11" fontId="0" fillId="9" borderId="1" xfId="0" applyNumberFormat="1" applyFill="1" applyBorder="1"/>
    <xf numFmtId="165" fontId="0" fillId="9" borderId="1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9D8FF"/>
      <color rgb="FF43C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ctool.org/CALC/phys/optics/pulsed_sour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E50"/>
  <sheetViews>
    <sheetView tabSelected="1" zoomScale="85" zoomScaleNormal="85" workbookViewId="0">
      <selection activeCell="U27" sqref="U27"/>
    </sheetView>
  </sheetViews>
  <sheetFormatPr defaultRowHeight="12.75" x14ac:dyDescent="0.2"/>
  <cols>
    <col min="1" max="1" width="29.85546875" bestFit="1" customWidth="1"/>
    <col min="2" max="2" width="13.7109375" customWidth="1"/>
    <col min="3" max="3" width="10" customWidth="1"/>
    <col min="4" max="4" width="10.5703125" customWidth="1"/>
    <col min="5" max="5" width="11.140625" customWidth="1"/>
    <col min="6" max="7" width="10.85546875" customWidth="1"/>
    <col min="8" max="9" width="12.28515625" customWidth="1"/>
    <col min="10" max="10" width="14.5703125" bestFit="1" customWidth="1"/>
    <col min="11" max="14" width="12.85546875" customWidth="1"/>
    <col min="15" max="16" width="12.28515625" customWidth="1"/>
    <col min="17" max="17" width="12" customWidth="1"/>
    <col min="18" max="18" width="10.5703125" customWidth="1"/>
    <col min="19" max="19" width="11.7109375" customWidth="1"/>
    <col min="20" max="20" width="12.42578125" customWidth="1"/>
    <col min="21" max="21" width="10.140625" style="11" customWidth="1"/>
    <col min="22" max="22" width="12" style="11" customWidth="1"/>
    <col min="23" max="23" width="13.140625" style="11" customWidth="1"/>
    <col min="24" max="25" width="12.85546875" style="11" customWidth="1"/>
    <col min="26" max="26" width="14" bestFit="1" customWidth="1"/>
  </cols>
  <sheetData>
    <row r="2" spans="1:31" s="4" customFormat="1" ht="69.75" customHeight="1" x14ac:dyDescent="0.2">
      <c r="A2" s="25" t="s">
        <v>72</v>
      </c>
      <c r="B2" s="36" t="s">
        <v>9</v>
      </c>
      <c r="C2" s="5" t="s">
        <v>10</v>
      </c>
      <c r="D2" s="5" t="s">
        <v>11</v>
      </c>
      <c r="E2" s="24" t="s">
        <v>0</v>
      </c>
      <c r="F2" s="5" t="s">
        <v>2</v>
      </c>
      <c r="G2" s="36" t="s">
        <v>23</v>
      </c>
      <c r="H2" s="71" t="s">
        <v>4</v>
      </c>
      <c r="I2" s="71"/>
      <c r="J2" s="36" t="s">
        <v>75</v>
      </c>
      <c r="K2" s="34" t="s">
        <v>40</v>
      </c>
      <c r="L2" s="5" t="s">
        <v>76</v>
      </c>
      <c r="M2" s="5" t="s">
        <v>77</v>
      </c>
      <c r="N2" s="5" t="s">
        <v>80</v>
      </c>
      <c r="O2" s="5" t="s">
        <v>38</v>
      </c>
      <c r="P2" s="72" t="s">
        <v>26</v>
      </c>
      <c r="Q2" s="72"/>
      <c r="R2" s="45" t="s">
        <v>73</v>
      </c>
      <c r="S2" s="63" t="s">
        <v>74</v>
      </c>
      <c r="T2" s="63"/>
      <c r="U2" s="72" t="s">
        <v>33</v>
      </c>
      <c r="V2" s="72"/>
      <c r="W2" s="72"/>
      <c r="X2" s="6" t="s">
        <v>18</v>
      </c>
      <c r="Y2" s="71" t="s">
        <v>22</v>
      </c>
      <c r="Z2" s="71"/>
      <c r="AA2" s="25"/>
      <c r="AB2" s="25"/>
      <c r="AC2" s="25"/>
      <c r="AD2" s="25"/>
      <c r="AE2" s="25"/>
    </row>
    <row r="3" spans="1:31" s="3" customFormat="1" ht="14.25" x14ac:dyDescent="0.2">
      <c r="A3" s="26"/>
      <c r="B3" s="8" t="s">
        <v>1</v>
      </c>
      <c r="C3" s="7" t="s">
        <v>8</v>
      </c>
      <c r="D3" s="7" t="s">
        <v>12</v>
      </c>
      <c r="E3" s="7" t="s">
        <v>1</v>
      </c>
      <c r="F3" s="7" t="s">
        <v>3</v>
      </c>
      <c r="G3" s="8" t="s">
        <v>24</v>
      </c>
      <c r="H3" s="35" t="s">
        <v>5</v>
      </c>
      <c r="I3" s="7" t="s">
        <v>6</v>
      </c>
      <c r="J3" s="8" t="s">
        <v>7</v>
      </c>
      <c r="K3" s="35"/>
      <c r="L3" s="7"/>
      <c r="M3" s="7"/>
      <c r="N3" s="7"/>
      <c r="O3" s="7" t="s">
        <v>7</v>
      </c>
      <c r="P3" s="7" t="s">
        <v>16</v>
      </c>
      <c r="Q3" s="12" t="s">
        <v>17</v>
      </c>
      <c r="R3" s="35"/>
      <c r="S3" s="64" t="s">
        <v>17</v>
      </c>
      <c r="T3" s="64" t="s">
        <v>39</v>
      </c>
      <c r="U3" s="12" t="s">
        <v>14</v>
      </c>
      <c r="V3" s="64" t="s">
        <v>15</v>
      </c>
      <c r="W3" s="12" t="s">
        <v>13</v>
      </c>
      <c r="X3" s="12" t="s">
        <v>19</v>
      </c>
      <c r="Y3" s="12" t="s">
        <v>20</v>
      </c>
      <c r="Z3" s="64" t="s">
        <v>21</v>
      </c>
      <c r="AA3" s="26"/>
      <c r="AB3" s="26"/>
      <c r="AC3" s="26"/>
      <c r="AD3" s="26"/>
      <c r="AE3" s="26"/>
    </row>
    <row r="4" spans="1:31" s="27" customFormat="1" x14ac:dyDescent="0.2">
      <c r="A4" s="11" t="s">
        <v>79</v>
      </c>
      <c r="B4" s="37">
        <v>485</v>
      </c>
      <c r="C4" s="28">
        <f>$D$19/(B4/1000000000)</f>
        <v>618144329896907.25</v>
      </c>
      <c r="D4" s="28">
        <f>$D$20*C4</f>
        <v>4.0958676247257735E-19</v>
      </c>
      <c r="E4" s="29">
        <v>800</v>
      </c>
      <c r="F4" s="28">
        <f>3.1417*(E4/2/1000000000)^2</f>
        <v>5.0267199999999996E-13</v>
      </c>
      <c r="G4" s="19">
        <v>10</v>
      </c>
      <c r="H4" s="47">
        <f>C30</f>
        <v>90</v>
      </c>
      <c r="I4" s="28">
        <f>H4/1000000000000</f>
        <v>8.9999999999999999E-11</v>
      </c>
      <c r="J4" s="18">
        <v>1000</v>
      </c>
      <c r="K4" s="43">
        <f>E24</f>
        <v>1.5E-3</v>
      </c>
      <c r="L4" s="28">
        <f>J4*K4</f>
        <v>1.5</v>
      </c>
      <c r="M4" s="28">
        <f>L4*0.000001</f>
        <v>1.5E-6</v>
      </c>
      <c r="N4" s="28">
        <f>M4/F4*0.0001</f>
        <v>298.40532195944877</v>
      </c>
      <c r="O4" s="28">
        <f>M4/(I4*G4*10^6)</f>
        <v>1.6666666666666668E-3</v>
      </c>
      <c r="P4" s="30">
        <f>O4*I4/F4</f>
        <v>0.29840532195944874</v>
      </c>
      <c r="Q4" s="31">
        <f>P4*1000/10000</f>
        <v>2.9840532195944878E-2</v>
      </c>
      <c r="R4" s="46">
        <f>C36</f>
        <v>0.85</v>
      </c>
      <c r="S4" s="70">
        <f>Q4*R4</f>
        <v>2.5364452366553145E-2</v>
      </c>
      <c r="T4" s="66">
        <f>S4*10*1000</f>
        <v>253.64452366553147</v>
      </c>
      <c r="U4" s="32">
        <f>O4*I4*R4</f>
        <v>1.2750000000000001E-13</v>
      </c>
      <c r="V4" s="67">
        <f>U4*1000000000000</f>
        <v>0.1275</v>
      </c>
      <c r="W4" s="33">
        <f>U4*6242000000000000</f>
        <v>795.85500000000013</v>
      </c>
      <c r="X4" s="28">
        <f>U4/D4</f>
        <v>311289.35718115739</v>
      </c>
      <c r="Y4" s="28">
        <f>X4/F4</f>
        <v>6.1926933901462067E+17</v>
      </c>
      <c r="Z4" s="69">
        <f>Y4/10000</f>
        <v>61926933901462.07</v>
      </c>
      <c r="AA4" s="16"/>
      <c r="AB4" s="11"/>
      <c r="AC4" s="11"/>
      <c r="AD4" s="11"/>
      <c r="AE4" s="11"/>
    </row>
    <row r="5" spans="1:31" s="27" customFormat="1" x14ac:dyDescent="0.2">
      <c r="A5" s="11"/>
      <c r="B5" s="37">
        <v>640</v>
      </c>
      <c r="C5" s="28">
        <f>$D$19/(B5/1000000000)</f>
        <v>468437500000000</v>
      </c>
      <c r="D5" s="28">
        <f>$D$20*C5</f>
        <v>3.1038996843625001E-19</v>
      </c>
      <c r="E5" s="29">
        <v>800</v>
      </c>
      <c r="F5" s="28">
        <f>3.1417*(E5/2/1000000000)^2</f>
        <v>5.0267199999999996E-13</v>
      </c>
      <c r="G5" s="19">
        <v>10</v>
      </c>
      <c r="H5" s="47">
        <v>90</v>
      </c>
      <c r="I5" s="28">
        <f>H5/1000000000000</f>
        <v>8.9999999999999999E-11</v>
      </c>
      <c r="J5" s="18">
        <v>500</v>
      </c>
      <c r="K5" s="43">
        <f>E26</f>
        <v>1.3699999999999999E-3</v>
      </c>
      <c r="L5" s="28">
        <f>J5*K5</f>
        <v>0.68499999999999994</v>
      </c>
      <c r="M5" s="28">
        <f>L5*0.000001</f>
        <v>6.849999999999999E-7</v>
      </c>
      <c r="N5" s="28">
        <f>M5/F5*0.0001</f>
        <v>136.27176369481489</v>
      </c>
      <c r="O5" s="28">
        <f>M5/(I5*G5*10^6)</f>
        <v>7.6111111111111106E-4</v>
      </c>
      <c r="P5" s="30">
        <f>O5*I5/F5</f>
        <v>0.13627176369481492</v>
      </c>
      <c r="Q5" s="31">
        <f>P5*1000/10000</f>
        <v>1.3627176369481492E-2</v>
      </c>
      <c r="R5" s="46">
        <f>C37</f>
        <v>0.9</v>
      </c>
      <c r="S5" s="70">
        <f>Q5*R5</f>
        <v>1.2264458732533344E-2</v>
      </c>
      <c r="T5" s="66">
        <f>S5*10*1000</f>
        <v>122.64458732533345</v>
      </c>
      <c r="U5" s="32">
        <f>O5*I5*R5</f>
        <v>6.1649999999999995E-14</v>
      </c>
      <c r="V5" s="67">
        <f>U5*1000000000000</f>
        <v>6.1649999999999996E-2</v>
      </c>
      <c r="W5" s="33">
        <f>U5*6242000000000000</f>
        <v>384.81929999999994</v>
      </c>
      <c r="X5" s="28">
        <f>U5/D5</f>
        <v>198621.10979486146</v>
      </c>
      <c r="Y5" s="28">
        <f>X5/F5</f>
        <v>3.9513064144185766E+17</v>
      </c>
      <c r="Z5" s="69">
        <f>Y5/10000</f>
        <v>39513064144185.766</v>
      </c>
      <c r="AA5" s="16"/>
      <c r="AB5" s="11"/>
      <c r="AC5" s="11"/>
      <c r="AD5" s="11"/>
      <c r="AE5" s="11"/>
    </row>
    <row r="6" spans="1:31" s="48" customFormat="1" x14ac:dyDescent="0.2">
      <c r="B6" s="49"/>
      <c r="C6" s="50"/>
      <c r="D6" s="50"/>
      <c r="E6" s="21"/>
      <c r="F6" s="50"/>
      <c r="G6" s="51"/>
      <c r="H6" s="21"/>
      <c r="I6" s="50"/>
      <c r="J6" s="50"/>
      <c r="K6" s="50"/>
      <c r="L6" s="50"/>
      <c r="M6" s="50"/>
      <c r="N6" s="50"/>
      <c r="O6" s="50"/>
      <c r="P6" s="51"/>
      <c r="Q6" s="52"/>
      <c r="R6" s="52"/>
      <c r="S6" s="52"/>
      <c r="T6" s="21"/>
      <c r="U6" s="50"/>
      <c r="V6" s="51"/>
      <c r="W6" s="21"/>
      <c r="X6" s="50"/>
      <c r="Y6" s="50"/>
      <c r="Z6" s="50"/>
    </row>
    <row r="7" spans="1:31" s="27" customFormat="1" x14ac:dyDescent="0.2">
      <c r="A7" s="11" t="s">
        <v>81</v>
      </c>
      <c r="B7" s="37">
        <v>485</v>
      </c>
      <c r="C7" s="28">
        <f>$D$19/(B7/1000000000)</f>
        <v>618144329896907.25</v>
      </c>
      <c r="D7" s="28">
        <f>$D$20*C7</f>
        <v>4.0958676247257735E-19</v>
      </c>
      <c r="E7" s="29">
        <v>800</v>
      </c>
      <c r="F7" s="28">
        <f>3.1417*(E7/2/1000000000)^2</f>
        <v>5.0267199999999996E-13</v>
      </c>
      <c r="G7" s="19">
        <v>10</v>
      </c>
      <c r="H7" s="47">
        <f>C31</f>
        <v>70</v>
      </c>
      <c r="I7" s="28">
        <f>H7/1000000000000</f>
        <v>7.0000000000000004E-11</v>
      </c>
      <c r="J7" s="18">
        <v>500</v>
      </c>
      <c r="K7" s="43">
        <f>D24</f>
        <v>1.47E-3</v>
      </c>
      <c r="L7" s="28">
        <f>J7*K7</f>
        <v>0.73499999999999999</v>
      </c>
      <c r="M7" s="28">
        <f>L7*0.000001</f>
        <v>7.3499999999999995E-7</v>
      </c>
      <c r="N7" s="28">
        <f>M7/F7*0.0001</f>
        <v>146.21860776012988</v>
      </c>
      <c r="O7" s="28">
        <f>M7/(I7*G7*10^6)</f>
        <v>1.0499999999999997E-3</v>
      </c>
      <c r="P7" s="30">
        <f>O7*I7/F7</f>
        <v>0.14621860776012985</v>
      </c>
      <c r="Q7" s="31">
        <f>P7*1000/10000</f>
        <v>1.4621860776012985E-2</v>
      </c>
      <c r="R7" s="46">
        <f>C36</f>
        <v>0.85</v>
      </c>
      <c r="S7" s="65">
        <f>Q7*R7</f>
        <v>1.2428581659611037E-2</v>
      </c>
      <c r="T7" s="66">
        <f>S7*10*1000</f>
        <v>124.28581659611038</v>
      </c>
      <c r="U7" s="32">
        <f>O7*I7*R7</f>
        <v>6.2474999999999994E-14</v>
      </c>
      <c r="V7" s="67">
        <f>U7*1000000000000</f>
        <v>6.2474999999999996E-2</v>
      </c>
      <c r="W7" s="33">
        <f>U7*6242000000000000</f>
        <v>389.96894999999995</v>
      </c>
      <c r="X7" s="28">
        <f>U7/D7</f>
        <v>152531.78501876711</v>
      </c>
      <c r="Y7" s="28">
        <f>X7/F7</f>
        <v>3.034419761171641E+17</v>
      </c>
      <c r="Z7" s="69">
        <f>Y7/10000</f>
        <v>30344197611716.41</v>
      </c>
      <c r="AA7" s="11"/>
      <c r="AB7" s="11"/>
      <c r="AC7" s="11"/>
      <c r="AD7" s="11"/>
      <c r="AE7" s="11"/>
    </row>
    <row r="8" spans="1:31" s="27" customFormat="1" x14ac:dyDescent="0.2">
      <c r="A8" s="11"/>
      <c r="B8" s="37">
        <v>560</v>
      </c>
      <c r="C8" s="28">
        <f>$D$19/(B8/1000000000)</f>
        <v>535357142857142.81</v>
      </c>
      <c r="D8" s="28">
        <f>$D$20*C8</f>
        <v>3.5473139249857141E-19</v>
      </c>
      <c r="E8" s="29">
        <v>800</v>
      </c>
      <c r="F8" s="28">
        <f>3.1417*(E8/2/1000000000)^2</f>
        <v>5.0267199999999996E-13</v>
      </c>
      <c r="G8" s="19">
        <v>10</v>
      </c>
      <c r="H8" s="47">
        <f>C32</f>
        <v>90</v>
      </c>
      <c r="I8" s="28">
        <f>H8/1000000000000</f>
        <v>8.9999999999999999E-11</v>
      </c>
      <c r="J8" s="18">
        <v>750</v>
      </c>
      <c r="K8" s="43">
        <f>D25</f>
        <v>1.23E-3</v>
      </c>
      <c r="L8" s="28">
        <f>J8*K8</f>
        <v>0.92249999999999999</v>
      </c>
      <c r="M8" s="28">
        <f>L8*0.000001</f>
        <v>9.2249999999999996E-7</v>
      </c>
      <c r="N8" s="28">
        <f>M8/F8*0.0001</f>
        <v>183.51927300506097</v>
      </c>
      <c r="O8" s="28">
        <f>M8/(I8*G8*10^6)</f>
        <v>1.0250000000000001E-3</v>
      </c>
      <c r="P8" s="30">
        <f>O8*I8/F8</f>
        <v>0.18351927300506099</v>
      </c>
      <c r="Q8" s="31">
        <f>P8*1000/10000</f>
        <v>1.83519273005061E-2</v>
      </c>
      <c r="R8" s="46">
        <f>C37</f>
        <v>0.9</v>
      </c>
      <c r="S8" s="65">
        <f>Q8*R8</f>
        <v>1.651673457045549E-2</v>
      </c>
      <c r="T8" s="66">
        <f>S8*10*1000</f>
        <v>165.16734570455492</v>
      </c>
      <c r="U8" s="32">
        <f>O8*I8*R8</f>
        <v>8.3025000000000017E-14</v>
      </c>
      <c r="V8" s="67">
        <f>U8*1000000000000</f>
        <v>8.3025000000000015E-2</v>
      </c>
      <c r="W8" s="33">
        <f>U8*6242000000000000</f>
        <v>518.24205000000006</v>
      </c>
      <c r="X8" s="28">
        <f>U8/D8</f>
        <v>234050.33147816028</v>
      </c>
      <c r="Y8" s="28">
        <f>X8/F8</f>
        <v>4.6561243012970746E+17</v>
      </c>
      <c r="Z8" s="69">
        <f>Y8/10000</f>
        <v>46561243012970.742</v>
      </c>
      <c r="AA8" s="11"/>
      <c r="AB8" s="11"/>
      <c r="AC8" s="11"/>
      <c r="AD8" s="11"/>
      <c r="AE8" s="11"/>
    </row>
    <row r="9" spans="1:31" s="11" customFormat="1" x14ac:dyDescent="0.2">
      <c r="B9" s="20"/>
      <c r="C9" s="14"/>
      <c r="D9" s="14"/>
      <c r="E9" s="61"/>
      <c r="F9" s="14"/>
      <c r="G9" s="15"/>
      <c r="H9" s="21"/>
      <c r="I9" s="14"/>
      <c r="J9" s="14"/>
      <c r="K9" s="14"/>
      <c r="L9" s="14"/>
      <c r="M9" s="14"/>
      <c r="N9" s="14"/>
      <c r="O9" s="14"/>
      <c r="P9" s="15"/>
      <c r="Q9" s="17"/>
      <c r="R9" s="22"/>
      <c r="S9" s="22"/>
      <c r="T9" s="62"/>
      <c r="U9" s="23"/>
      <c r="V9" s="15"/>
      <c r="W9" s="13"/>
      <c r="X9" s="14"/>
      <c r="Y9" s="14"/>
      <c r="Z9" s="14"/>
    </row>
    <row r="10" spans="1:31" s="11" customFormat="1" x14ac:dyDescent="0.2">
      <c r="A10" s="11" t="s">
        <v>78</v>
      </c>
      <c r="B10" s="37">
        <v>560</v>
      </c>
      <c r="C10" s="28">
        <f>$D$19/(B10/1000000000)</f>
        <v>535357142857142.81</v>
      </c>
      <c r="D10" s="28">
        <f>$D$20*C10</f>
        <v>3.5473139249857141E-19</v>
      </c>
      <c r="E10" s="29">
        <v>800</v>
      </c>
      <c r="F10" s="28">
        <f>3.1417*(E10/2/1000000000)^2</f>
        <v>5.0267199999999996E-13</v>
      </c>
      <c r="G10" s="19">
        <v>10</v>
      </c>
      <c r="H10" s="47">
        <v>70</v>
      </c>
      <c r="I10" s="28">
        <f>H10/1000000000000</f>
        <v>7.0000000000000004E-11</v>
      </c>
      <c r="J10" s="18">
        <v>1000</v>
      </c>
      <c r="K10" s="43">
        <f>D25</f>
        <v>1.23E-3</v>
      </c>
      <c r="L10" s="28">
        <f>J10*K10</f>
        <v>1.23</v>
      </c>
      <c r="M10" s="28">
        <f>L10*0.000001</f>
        <v>1.2299999999999999E-6</v>
      </c>
      <c r="N10" s="28">
        <f>M10/F10*0.0001</f>
        <v>244.69236400674791</v>
      </c>
      <c r="O10" s="28">
        <f>M10/(I10*G10*10^6)</f>
        <v>1.7571428571428566E-3</v>
      </c>
      <c r="P10" s="30">
        <f>O10*I10/F10</f>
        <v>0.24469236400674793</v>
      </c>
      <c r="Q10" s="31">
        <f>P10*1000/10000</f>
        <v>2.4469236400674794E-2</v>
      </c>
      <c r="R10" s="46">
        <f>C36</f>
        <v>0.85</v>
      </c>
      <c r="S10" s="65">
        <f>Q10*R10</f>
        <v>2.0798850940573575E-2</v>
      </c>
      <c r="T10" s="66">
        <f>S10*10*1000</f>
        <v>207.98850940573573</v>
      </c>
      <c r="U10" s="32">
        <f>O10*I10*R10</f>
        <v>1.0454999999999998E-13</v>
      </c>
      <c r="V10" s="67">
        <f>U10*1000000000000</f>
        <v>0.10454999999999998</v>
      </c>
      <c r="W10" s="33">
        <f>U10*6242000000000000</f>
        <v>652.60109999999986</v>
      </c>
      <c r="X10" s="28">
        <f>U10/D10</f>
        <v>294730.04704657209</v>
      </c>
      <c r="Y10" s="28">
        <f>X10/F10</f>
        <v>5.8632676386703872E+17</v>
      </c>
      <c r="Z10" s="69">
        <f>Y10/10000</f>
        <v>58632676386703.875</v>
      </c>
    </row>
    <row r="11" spans="1:31" s="11" customFormat="1" x14ac:dyDescent="0.2">
      <c r="B11" s="37">
        <v>640</v>
      </c>
      <c r="C11" s="28">
        <f>$D$19/(B11/1000000000)</f>
        <v>468437500000000</v>
      </c>
      <c r="D11" s="28">
        <f>$D$20*C11</f>
        <v>3.1038996843625001E-19</v>
      </c>
      <c r="E11" s="29">
        <v>800</v>
      </c>
      <c r="F11" s="28">
        <f>3.1417*(E11/2/1000000000)^2</f>
        <v>5.0267199999999996E-13</v>
      </c>
      <c r="G11" s="19">
        <v>10</v>
      </c>
      <c r="H11" s="47">
        <v>90</v>
      </c>
      <c r="I11" s="28">
        <f>H11/1000000000000</f>
        <v>8.9999999999999999E-11</v>
      </c>
      <c r="J11" s="18">
        <v>500</v>
      </c>
      <c r="K11" s="43">
        <f>E26</f>
        <v>1.3699999999999999E-3</v>
      </c>
      <c r="L11" s="28">
        <f>J11*K11</f>
        <v>0.68499999999999994</v>
      </c>
      <c r="M11" s="28">
        <f>L11*0.000001</f>
        <v>6.849999999999999E-7</v>
      </c>
      <c r="N11" s="28">
        <f>M11/F11*0.0001</f>
        <v>136.27176369481489</v>
      </c>
      <c r="O11" s="28">
        <f>M11/(I11*G11*10^6)</f>
        <v>7.6111111111111106E-4</v>
      </c>
      <c r="P11" s="30">
        <f>O11*I11/F11</f>
        <v>0.13627176369481492</v>
      </c>
      <c r="Q11" s="31">
        <f>P11*1000/10000</f>
        <v>1.3627176369481492E-2</v>
      </c>
      <c r="R11" s="46">
        <f>C37</f>
        <v>0.9</v>
      </c>
      <c r="S11" s="65">
        <f>Q11*R11</f>
        <v>1.2264458732533344E-2</v>
      </c>
      <c r="T11" s="66">
        <f>S11*10*1000</f>
        <v>122.64458732533345</v>
      </c>
      <c r="U11" s="32">
        <f>O11*I11*R11</f>
        <v>6.1649999999999995E-14</v>
      </c>
      <c r="V11" s="67">
        <f>U11*1000000000000</f>
        <v>6.1649999999999996E-2</v>
      </c>
      <c r="W11" s="33">
        <f>U11*6242000000000000</f>
        <v>384.81929999999994</v>
      </c>
      <c r="X11" s="28">
        <f>U11/D11</f>
        <v>198621.10979486146</v>
      </c>
      <c r="Y11" s="28">
        <f>X11/F11</f>
        <v>3.9513064144185766E+17</v>
      </c>
      <c r="Z11" s="69">
        <f>Y11/10000</f>
        <v>39513064144185.766</v>
      </c>
    </row>
    <row r="12" spans="1:31" x14ac:dyDescent="0.2">
      <c r="A12" s="48"/>
      <c r="B12" s="49"/>
      <c r="C12" s="50"/>
      <c r="D12" s="50"/>
      <c r="E12" s="21"/>
      <c r="F12" s="50"/>
      <c r="G12" s="51"/>
      <c r="H12" s="21"/>
      <c r="I12" s="50"/>
      <c r="J12" s="50"/>
      <c r="K12" s="50"/>
      <c r="L12" s="50"/>
      <c r="M12" s="50"/>
      <c r="N12" s="50"/>
      <c r="O12" s="50"/>
      <c r="P12" s="51"/>
      <c r="Q12" s="52"/>
      <c r="R12" s="52"/>
      <c r="S12" s="52"/>
      <c r="T12" s="21"/>
      <c r="U12" s="50"/>
      <c r="V12" s="51"/>
      <c r="W12" s="21"/>
      <c r="X12" s="50"/>
      <c r="Y12" s="50"/>
      <c r="Z12" s="50"/>
    </row>
    <row r="13" spans="1:31" x14ac:dyDescent="0.2">
      <c r="U13"/>
      <c r="V13"/>
      <c r="W13"/>
      <c r="X13"/>
      <c r="Y13"/>
    </row>
    <row r="14" spans="1:31" x14ac:dyDescent="0.2">
      <c r="B14" s="41" t="s">
        <v>41</v>
      </c>
      <c r="L14" s="1" t="s">
        <v>82</v>
      </c>
      <c r="U14"/>
      <c r="V14"/>
      <c r="W14"/>
      <c r="X14"/>
      <c r="Y14"/>
    </row>
    <row r="15" spans="1:31" x14ac:dyDescent="0.2">
      <c r="B15" s="42" t="s">
        <v>47</v>
      </c>
      <c r="U15"/>
      <c r="V15"/>
      <c r="W15"/>
      <c r="X15"/>
      <c r="Y15"/>
    </row>
    <row r="16" spans="1:31" x14ac:dyDescent="0.2">
      <c r="B16" s="68" t="s">
        <v>48</v>
      </c>
      <c r="U16"/>
      <c r="V16"/>
      <c r="W16"/>
      <c r="X16"/>
      <c r="Y16"/>
    </row>
    <row r="17" spans="2:25" x14ac:dyDescent="0.2">
      <c r="U17"/>
      <c r="V17"/>
      <c r="W17"/>
      <c r="X17"/>
      <c r="Y17"/>
    </row>
    <row r="18" spans="2:25" x14ac:dyDescent="0.2">
      <c r="B18" s="1" t="s">
        <v>27</v>
      </c>
      <c r="G18" s="1" t="s">
        <v>57</v>
      </c>
      <c r="L18" s="1" t="s">
        <v>67</v>
      </c>
      <c r="U18"/>
      <c r="V18"/>
      <c r="W18"/>
      <c r="X18"/>
      <c r="Y18"/>
    </row>
    <row r="19" spans="2:25" x14ac:dyDescent="0.2">
      <c r="B19" t="s">
        <v>28</v>
      </c>
      <c r="D19">
        <v>299800000</v>
      </c>
      <c r="G19" s="53"/>
      <c r="H19" s="54" t="s">
        <v>59</v>
      </c>
      <c r="I19" s="54" t="s">
        <v>60</v>
      </c>
      <c r="J19" s="54" t="s">
        <v>64</v>
      </c>
      <c r="L19" s="60" t="s">
        <v>68</v>
      </c>
      <c r="U19"/>
      <c r="V19"/>
      <c r="W19"/>
      <c r="X19"/>
      <c r="Y19"/>
    </row>
    <row r="20" spans="2:25" ht="14.25" x14ac:dyDescent="0.2">
      <c r="B20" t="s">
        <v>29</v>
      </c>
      <c r="D20" s="2">
        <v>6.6260700399999999E-34</v>
      </c>
      <c r="G20" s="55" t="s">
        <v>62</v>
      </c>
      <c r="H20" s="56" t="s">
        <v>17</v>
      </c>
      <c r="I20" s="56" t="s">
        <v>15</v>
      </c>
      <c r="J20" s="56" t="s">
        <v>21</v>
      </c>
      <c r="L20" s="60" t="s">
        <v>69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/>
      <c r="X20"/>
      <c r="Y20"/>
    </row>
    <row r="21" spans="2:25" x14ac:dyDescent="0.2">
      <c r="G21" s="57" t="s">
        <v>58</v>
      </c>
      <c r="H21" s="55">
        <v>5.0999999999999997E-2</v>
      </c>
      <c r="I21" s="55">
        <v>0.26</v>
      </c>
      <c r="J21" s="58">
        <v>124000000000000</v>
      </c>
      <c r="L21" t="s">
        <v>70</v>
      </c>
      <c r="U21"/>
      <c r="V21"/>
      <c r="W21"/>
      <c r="X21"/>
      <c r="Y21"/>
    </row>
    <row r="22" spans="2:25" x14ac:dyDescent="0.2">
      <c r="B22" s="1" t="s">
        <v>49</v>
      </c>
      <c r="G22" s="57" t="s">
        <v>61</v>
      </c>
      <c r="H22" s="55">
        <v>0.39500000000000002</v>
      </c>
      <c r="I22" s="55">
        <v>1.98</v>
      </c>
      <c r="J22" s="58">
        <v>964000000000000</v>
      </c>
      <c r="L22" t="s">
        <v>71</v>
      </c>
    </row>
    <row r="23" spans="2:25" x14ac:dyDescent="0.2">
      <c r="B23" s="38" t="s">
        <v>46</v>
      </c>
      <c r="C23" s="44" t="s">
        <v>42</v>
      </c>
      <c r="D23" s="44" t="s">
        <v>43</v>
      </c>
      <c r="E23" s="44" t="s">
        <v>44</v>
      </c>
      <c r="G23" s="57" t="s">
        <v>63</v>
      </c>
      <c r="H23" s="55">
        <v>1.4359999999999999</v>
      </c>
      <c r="I23" s="55">
        <v>7.22</v>
      </c>
      <c r="J23" s="58">
        <v>3510000000000000</v>
      </c>
    </row>
    <row r="24" spans="2:25" x14ac:dyDescent="0.2">
      <c r="B24" s="40">
        <v>485</v>
      </c>
      <c r="C24" s="38">
        <v>1.5100000000000001E-3</v>
      </c>
      <c r="D24" s="38">
        <v>1.47E-3</v>
      </c>
      <c r="E24" s="38">
        <v>1.5E-3</v>
      </c>
    </row>
    <row r="25" spans="2:25" x14ac:dyDescent="0.2">
      <c r="B25" s="40">
        <v>560</v>
      </c>
      <c r="C25" s="39" t="s">
        <v>45</v>
      </c>
      <c r="D25" s="38">
        <v>1.23E-3</v>
      </c>
      <c r="E25" s="39" t="s">
        <v>45</v>
      </c>
    </row>
    <row r="26" spans="2:25" x14ac:dyDescent="0.2">
      <c r="B26" s="40">
        <v>640</v>
      </c>
      <c r="C26" s="39" t="s">
        <v>45</v>
      </c>
      <c r="D26" s="39" t="s">
        <v>45</v>
      </c>
      <c r="E26" s="38">
        <v>1.3699999999999999E-3</v>
      </c>
    </row>
    <row r="28" spans="2:25" x14ac:dyDescent="0.2">
      <c r="B28" s="1" t="s">
        <v>50</v>
      </c>
    </row>
    <row r="29" spans="2:25" x14ac:dyDescent="0.2">
      <c r="B29" t="s">
        <v>51</v>
      </c>
      <c r="C29" t="s">
        <v>52</v>
      </c>
    </row>
    <row r="30" spans="2:25" x14ac:dyDescent="0.2">
      <c r="B30">
        <v>485</v>
      </c>
      <c r="C30">
        <v>90</v>
      </c>
    </row>
    <row r="31" spans="2:25" x14ac:dyDescent="0.2">
      <c r="B31">
        <v>560</v>
      </c>
      <c r="C31">
        <v>70</v>
      </c>
    </row>
    <row r="32" spans="2:25" x14ac:dyDescent="0.2">
      <c r="B32">
        <v>640</v>
      </c>
      <c r="C32">
        <v>90</v>
      </c>
    </row>
    <row r="34" spans="2:3" x14ac:dyDescent="0.2">
      <c r="B34" s="1" t="s">
        <v>53</v>
      </c>
    </row>
    <row r="35" spans="2:3" x14ac:dyDescent="0.2">
      <c r="B35" t="s">
        <v>54</v>
      </c>
      <c r="C35">
        <v>0.87</v>
      </c>
    </row>
    <row r="36" spans="2:3" x14ac:dyDescent="0.2">
      <c r="B36" t="s">
        <v>55</v>
      </c>
      <c r="C36">
        <v>0.85</v>
      </c>
    </row>
    <row r="37" spans="2:3" x14ac:dyDescent="0.2">
      <c r="B37" t="s">
        <v>56</v>
      </c>
      <c r="C37">
        <v>0.9</v>
      </c>
    </row>
    <row r="39" spans="2:3" x14ac:dyDescent="0.2">
      <c r="B39" s="1" t="s">
        <v>30</v>
      </c>
    </row>
    <row r="40" spans="2:3" x14ac:dyDescent="0.2">
      <c r="B40" t="s">
        <v>31</v>
      </c>
    </row>
    <row r="41" spans="2:3" x14ac:dyDescent="0.2">
      <c r="B41" t="s">
        <v>32</v>
      </c>
    </row>
    <row r="43" spans="2:3" x14ac:dyDescent="0.2">
      <c r="B43" s="1" t="s">
        <v>65</v>
      </c>
    </row>
    <row r="45" spans="2:3" x14ac:dyDescent="0.2">
      <c r="B45" t="s">
        <v>37</v>
      </c>
    </row>
    <row r="47" spans="2:3" x14ac:dyDescent="0.2">
      <c r="B47" t="s">
        <v>66</v>
      </c>
    </row>
    <row r="49" spans="2:6" x14ac:dyDescent="0.2">
      <c r="B49" s="10" t="s">
        <v>34</v>
      </c>
      <c r="C49" t="s">
        <v>35</v>
      </c>
      <c r="F49" s="9" t="s">
        <v>36</v>
      </c>
    </row>
    <row r="50" spans="2:6" x14ac:dyDescent="0.2">
      <c r="F50" s="10" t="s">
        <v>25</v>
      </c>
    </row>
  </sheetData>
  <mergeCells count="4">
    <mergeCell ref="H2:I2"/>
    <mergeCell ref="P2:Q2"/>
    <mergeCell ref="U2:W2"/>
    <mergeCell ref="Y2:Z2"/>
  </mergeCells>
  <hyperlinks>
    <hyperlink ref="F49" r:id="rId1" xr:uid="{00000000-0004-0000-0000-000000000000}"/>
  </hyperlinks>
  <printOptions horizontalCentered="1"/>
  <pageMargins left="0.11811023622047245" right="0.11811023622047245" top="0.74803149606299213" bottom="0.74803149606299213" header="0.31496062992125984" footer="0.31496062992125984"/>
  <pageSetup paperSize="9" scale="44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G. Adams</dc:creator>
  <cp:lastModifiedBy>Sophie Meredith</cp:lastModifiedBy>
  <cp:lastPrinted>2018-11-28T16:47:27Z</cp:lastPrinted>
  <dcterms:created xsi:type="dcterms:W3CDTF">2018-01-17T09:58:39Z</dcterms:created>
  <dcterms:modified xsi:type="dcterms:W3CDTF">2021-02-14T15:49:23Z</dcterms:modified>
</cp:coreProperties>
</file>