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Publications\My publications\LHCII aggregates FLIM paper\RAW DATA FOR DEPOSIT\"/>
    </mc:Choice>
  </mc:AlternateContent>
  <bookViews>
    <workbookView xWindow="0" yWindow="0" windowWidth="28800" windowHeight="1191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M11" i="1"/>
  <c r="S11" i="1"/>
  <c r="I10" i="1"/>
  <c r="M10" i="1"/>
  <c r="S10" i="1"/>
  <c r="I9" i="1"/>
  <c r="M9" i="1"/>
  <c r="S9" i="1"/>
  <c r="I8" i="1"/>
  <c r="M8" i="1"/>
  <c r="S8" i="1"/>
  <c r="I5" i="1"/>
  <c r="M5" i="1"/>
  <c r="S5" i="1"/>
  <c r="I4" i="1"/>
  <c r="M4" i="1"/>
  <c r="S4" i="1"/>
  <c r="I6" i="1"/>
  <c r="M6" i="1"/>
  <c r="S6" i="1"/>
  <c r="I7" i="1"/>
  <c r="M7" i="1"/>
  <c r="S7" i="1"/>
  <c r="F6" i="1"/>
  <c r="N6" i="1"/>
  <c r="O6" i="1"/>
  <c r="Q6" i="1"/>
  <c r="F4" i="1"/>
  <c r="N4" i="1"/>
  <c r="O4" i="1"/>
  <c r="Q4" i="1"/>
  <c r="F5" i="1"/>
  <c r="N5" i="1"/>
  <c r="O5" i="1"/>
  <c r="Q5" i="1"/>
  <c r="F8" i="1"/>
  <c r="N8" i="1"/>
  <c r="O8" i="1"/>
  <c r="Q8" i="1"/>
  <c r="F9" i="1"/>
  <c r="N9" i="1"/>
  <c r="O9" i="1"/>
  <c r="Q9" i="1"/>
  <c r="F10" i="1"/>
  <c r="N10" i="1"/>
  <c r="O10" i="1"/>
  <c r="Q10" i="1"/>
  <c r="F11" i="1"/>
  <c r="N11" i="1"/>
  <c r="O11" i="1"/>
  <c r="Q11" i="1"/>
  <c r="F7" i="1"/>
  <c r="N7" i="1"/>
  <c r="O7" i="1"/>
  <c r="Q7" i="1"/>
  <c r="C8" i="1"/>
  <c r="D8" i="1"/>
  <c r="V8" i="1"/>
  <c r="W8" i="1"/>
  <c r="X8" i="1"/>
  <c r="U8" i="1"/>
  <c r="T8" i="1"/>
  <c r="R8" i="1"/>
  <c r="C11" i="1"/>
  <c r="D11" i="1"/>
  <c r="V11" i="1"/>
  <c r="W11" i="1"/>
  <c r="X11" i="1"/>
  <c r="U11" i="1"/>
  <c r="T11" i="1"/>
  <c r="R11" i="1"/>
  <c r="C10" i="1"/>
  <c r="D10" i="1"/>
  <c r="V10" i="1"/>
  <c r="W10" i="1"/>
  <c r="X10" i="1"/>
  <c r="U10" i="1"/>
  <c r="T10" i="1"/>
  <c r="R10" i="1"/>
  <c r="R5" i="1"/>
  <c r="R4" i="1"/>
  <c r="R9" i="1"/>
  <c r="R6" i="1"/>
  <c r="T6" i="1"/>
  <c r="C9" i="1"/>
  <c r="D9" i="1"/>
  <c r="C4" i="1"/>
  <c r="D4" i="1"/>
  <c r="C5" i="1"/>
  <c r="D5" i="1"/>
  <c r="C7" i="1"/>
  <c r="D7" i="1"/>
  <c r="V9" i="1"/>
  <c r="W9" i="1"/>
  <c r="X9" i="1"/>
  <c r="U9" i="1"/>
  <c r="T9" i="1"/>
  <c r="C6" i="1"/>
  <c r="U4" i="1"/>
  <c r="T4" i="1"/>
  <c r="V4" i="1"/>
  <c r="W4" i="1"/>
  <c r="X4" i="1"/>
  <c r="V5" i="1"/>
  <c r="W5" i="1"/>
  <c r="X5" i="1"/>
  <c r="U5" i="1"/>
  <c r="T5" i="1"/>
  <c r="T7" i="1"/>
  <c r="V7" i="1"/>
  <c r="W7" i="1"/>
  <c r="X7" i="1"/>
  <c r="U7" i="1"/>
  <c r="D6" i="1"/>
  <c r="V6" i="1"/>
  <c r="U6" i="1"/>
  <c r="W6" i="1"/>
  <c r="X6" i="1"/>
</calcChain>
</file>

<file path=xl/sharedStrings.xml><?xml version="1.0" encoding="utf-8"?>
<sst xmlns="http://schemas.openxmlformats.org/spreadsheetml/2006/main" count="63" uniqueCount="53">
  <si>
    <t>laser spot diameter</t>
  </si>
  <si>
    <t>(nm)</t>
  </si>
  <si>
    <t>laser spot area</t>
  </si>
  <si>
    <r>
      <t>(m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</si>
  <si>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Laser pulse FWHM</t>
  </si>
  <si>
    <t>(ps)</t>
  </si>
  <si>
    <t>(s)</t>
  </si>
  <si>
    <r>
      <t>(W=J.s</t>
    </r>
    <r>
      <rPr>
        <b/>
        <vertAlign val="superscript"/>
        <sz val="10"/>
        <color theme="1"/>
        <rFont val="Arial"/>
        <family val="2"/>
      </rPr>
      <t>-1</t>
    </r>
    <r>
      <rPr>
        <b/>
        <sz val="10"/>
        <color theme="1"/>
        <rFont val="Arial"/>
        <family val="2"/>
      </rPr>
      <t>)</t>
    </r>
  </si>
  <si>
    <t>(Hz)</t>
  </si>
  <si>
    <t>wavelength, λ</t>
  </si>
  <si>
    <t>freq, ν</t>
  </si>
  <si>
    <t>energy per photon, hν</t>
  </si>
  <si>
    <t>(J)</t>
  </si>
  <si>
    <t>(keV)</t>
  </si>
  <si>
    <t>(J/pulse)</t>
  </si>
  <si>
    <t>(pJ/pulse)</t>
  </si>
  <si>
    <r>
      <t>(J/m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</si>
  <si>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r>
      <t>(mJ/cm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</si>
  <si>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photon per pulse</t>
  </si>
  <si>
    <t>(hv/pulse)</t>
  </si>
  <si>
    <r>
      <t>(hv/pulse/m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</si>
  <si>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r>
      <t>(hv/pulse/cm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</si>
  <si>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excitation in photons per pulse per unit area</t>
  </si>
  <si>
    <t xml:space="preserve">rep rate </t>
  </si>
  <si>
    <t>(MHz)</t>
  </si>
  <si>
    <t>this gives the same values for pulse energy and photons per pulse</t>
  </si>
  <si>
    <t>Selected laser power</t>
  </si>
  <si>
    <t>(%)</t>
  </si>
  <si>
    <t>Fluence (no losses)</t>
  </si>
  <si>
    <t>constants</t>
  </si>
  <si>
    <t>c, speed of light (m/s)</t>
  </si>
  <si>
    <t>h, Planck (m2 kg / s)</t>
  </si>
  <si>
    <t>formulae</t>
  </si>
  <si>
    <t>ν=c/λ</t>
  </si>
  <si>
    <t>E=hν</t>
  </si>
  <si>
    <t>ND filter?</t>
  </si>
  <si>
    <t>no</t>
  </si>
  <si>
    <t>yes</t>
  </si>
  <si>
    <r>
      <t xml:space="preserve">Fluence (after 87% loss </t>
    </r>
    <r>
      <rPr>
        <b/>
        <i/>
        <sz val="10"/>
        <rFont val="Arial"/>
        <family val="2"/>
      </rPr>
      <t>and</t>
    </r>
    <r>
      <rPr>
        <b/>
        <sz val="10"/>
        <rFont val="Arial"/>
        <family val="2"/>
      </rPr>
      <t xml:space="preserve"> ND filter)</t>
    </r>
  </si>
  <si>
    <t>Calculated pulse energy (after losses and ND filter)</t>
  </si>
  <si>
    <t>duty cycle = (pulse width) / (pulse period) = (pulse width) x (rep rate)</t>
  </si>
  <si>
    <t>this assumes a rectangular (top-hat) pulse</t>
  </si>
  <si>
    <t>ALTERNATIVE:</t>
  </si>
  <si>
    <t xml:space="preserve">use online calculator, see: </t>
  </si>
  <si>
    <t>http://www.calctool.org/CALC/phys/optics/pulsed_source</t>
  </si>
  <si>
    <r>
      <rPr>
        <b/>
        <sz val="10"/>
        <color theme="1"/>
        <rFont val="Arial"/>
        <family val="2"/>
      </rPr>
      <t xml:space="preserve">peak power estimation </t>
    </r>
    <r>
      <rPr>
        <sz val="10"/>
        <color theme="1"/>
        <rFont val="Arial"/>
        <family val="2"/>
      </rPr>
      <t>= (measured average power) / (duty cycle)</t>
    </r>
  </si>
  <si>
    <t>Loss (estimated) from fibre to sample surface</t>
  </si>
  <si>
    <r>
      <t xml:space="preserve">Measured average power </t>
    </r>
    <r>
      <rPr>
        <sz val="10"/>
        <color theme="1"/>
        <rFont val="Arial"/>
        <family val="2"/>
      </rPr>
      <t>(at end of fibre after any ND filter)</t>
    </r>
  </si>
  <si>
    <t>Peak power (calculated)</t>
  </si>
  <si>
    <r>
      <t xml:space="preserve">Collection time </t>
    </r>
    <r>
      <rPr>
        <sz val="10"/>
        <color theme="1"/>
        <rFont val="Arial"/>
        <family val="2"/>
      </rPr>
      <t>(for delivery of equal #photons)</t>
    </r>
  </si>
  <si>
    <t>defined as "moderate fluence"</t>
  </si>
  <si>
    <t>defined as "low fluence"</t>
  </si>
  <si>
    <t>N.B. settings usage in main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</si>
</sst>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E+00"/>
    <numFmt numFmtId="167" formatCode="0.0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1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1" fontId="1" fillId="0" borderId="0" xfId="0" applyNumberFormat="1" applyFont="1"/>
    <xf numFmtId="0" fontId="4" fillId="0" borderId="0" xfId="1"/>
    <xf numFmtId="0" fontId="3" fillId="0" borderId="0" xfId="0" applyFont="1"/>
    <xf numFmtId="2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1" fontId="0" fillId="0" borderId="1" xfId="0" applyNumberFormat="1" applyFill="1" applyBorder="1"/>
    <xf numFmtId="165" fontId="0" fillId="0" borderId="1" xfId="0" applyNumberFormat="1" applyFill="1" applyBorder="1"/>
    <xf numFmtId="167" fontId="0" fillId="0" borderId="2" xfId="0" applyNumberFormat="1" applyFill="1" applyBorder="1"/>
    <xf numFmtId="164" fontId="0" fillId="0" borderId="2" xfId="0" applyNumberFormat="1" applyFill="1" applyBorder="1"/>
    <xf numFmtId="0" fontId="1" fillId="0" borderId="1" xfId="0" applyFont="1" applyFill="1" applyBorder="1" applyAlignment="1">
      <alignment horizontal="center" wrapText="1"/>
    </xf>
    <xf numFmtId="165" fontId="0" fillId="0" borderId="0" xfId="0" applyNumberFormat="1"/>
    <xf numFmtId="0" fontId="5" fillId="0" borderId="1" xfId="0" applyFont="1" applyBorder="1" applyAlignment="1">
      <alignment horizontal="right" wrapText="1"/>
    </xf>
    <xf numFmtId="11" fontId="0" fillId="0" borderId="1" xfId="0" applyNumberFormat="1" applyFill="1" applyBorder="1"/>
    <xf numFmtId="2" fontId="0" fillId="0" borderId="1" xfId="0" applyNumberFormat="1" applyFill="1" applyBorder="1"/>
    <xf numFmtId="11" fontId="0" fillId="0" borderId="0" xfId="0" applyNumberFormat="1" applyFill="1"/>
    <xf numFmtId="165" fontId="0" fillId="0" borderId="0" xfId="0" applyNumberFormat="1" applyFill="1"/>
    <xf numFmtId="164" fontId="0" fillId="0" borderId="1" xfId="0" applyNumberFormat="1" applyFill="1" applyBorder="1"/>
    <xf numFmtId="11" fontId="0" fillId="2" borderId="1" xfId="0" applyNumberFormat="1" applyFill="1" applyBorder="1"/>
    <xf numFmtId="2" fontId="0" fillId="2" borderId="1" xfId="0" applyNumberFormat="1" applyFill="1" applyBorder="1"/>
    <xf numFmtId="0" fontId="0" fillId="0" borderId="1" xfId="0" applyFill="1" applyBorder="1"/>
    <xf numFmtId="1" fontId="7" fillId="0" borderId="1" xfId="0" applyNumberFormat="1" applyFont="1" applyFill="1" applyBorder="1"/>
    <xf numFmtId="165" fontId="3" fillId="0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166" fontId="0" fillId="0" borderId="0" xfId="0" applyNumberForma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/>
    <xf numFmtId="11" fontId="1" fillId="0" borderId="1" xfId="0" applyNumberFormat="1" applyFon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2" fontId="1" fillId="2" borderId="1" xfId="0" applyNumberFormat="1" applyFont="1" applyFill="1" applyBorder="1"/>
    <xf numFmtId="11" fontId="1" fillId="2" borderId="1" xfId="0" applyNumberFormat="1" applyFont="1" applyFill="1" applyBorder="1"/>
    <xf numFmtId="11" fontId="1" fillId="0" borderId="0" xfId="0" applyNumberFormat="1" applyFont="1" applyFill="1"/>
    <xf numFmtId="165" fontId="5" fillId="0" borderId="1" xfId="0" applyNumberFormat="1" applyFont="1" applyFill="1" applyBorder="1"/>
    <xf numFmtId="164" fontId="0" fillId="0" borderId="1" xfId="0" applyNumberFormat="1" applyFont="1" applyFill="1" applyBorder="1"/>
    <xf numFmtId="164" fontId="1" fillId="2" borderId="1" xfId="0" applyNumberFormat="1" applyFont="1" applyFill="1" applyBorder="1"/>
    <xf numFmtId="164" fontId="0" fillId="2" borderId="1" xfId="0" applyNumberFormat="1" applyFont="1" applyFill="1" applyBorder="1"/>
    <xf numFmtId="11" fontId="0" fillId="0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ctool.org/CALC/phys/optics/pulsed_sou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="115" zoomScaleNormal="115" workbookViewId="0">
      <selection activeCell="N13" sqref="N13"/>
    </sheetView>
  </sheetViews>
  <sheetFormatPr defaultRowHeight="12.75" x14ac:dyDescent="0.2"/>
  <cols>
    <col min="1" max="1" width="27.28515625" customWidth="1"/>
    <col min="2" max="2" width="13.7109375" customWidth="1"/>
    <col min="3" max="3" width="10" customWidth="1"/>
    <col min="4" max="4" width="10.5703125" customWidth="1"/>
    <col min="5" max="5" width="11.140625" customWidth="1"/>
    <col min="6" max="7" width="10.85546875" customWidth="1"/>
    <col min="8" max="9" width="12.28515625" customWidth="1"/>
    <col min="10" max="11" width="10.85546875" style="21" customWidth="1"/>
    <col min="12" max="12" width="12.85546875" customWidth="1"/>
    <col min="13" max="14" width="12.28515625" customWidth="1"/>
    <col min="15" max="17" width="10.5703125" customWidth="1"/>
    <col min="18" max="18" width="10.5703125" style="14" customWidth="1"/>
    <col min="19" max="19" width="10.140625" style="14" customWidth="1"/>
    <col min="20" max="20" width="9.140625" style="14" customWidth="1"/>
    <col min="21" max="21" width="9.42578125" style="14" customWidth="1"/>
    <col min="22" max="23" width="12.85546875" style="14" customWidth="1"/>
    <col min="24" max="24" width="14" bestFit="1" customWidth="1"/>
  </cols>
  <sheetData>
    <row r="1" spans="1:25" x14ac:dyDescent="0.2">
      <c r="J1"/>
      <c r="K1"/>
    </row>
    <row r="2" spans="1:25" s="5" customFormat="1" ht="69.75" customHeight="1" x14ac:dyDescent="0.2">
      <c r="A2" s="54" t="s">
        <v>52</v>
      </c>
      <c r="B2" s="6" t="s">
        <v>9</v>
      </c>
      <c r="C2" s="6" t="s">
        <v>10</v>
      </c>
      <c r="D2" s="6" t="s">
        <v>11</v>
      </c>
      <c r="E2" s="53" t="s">
        <v>0</v>
      </c>
      <c r="F2" s="6" t="s">
        <v>2</v>
      </c>
      <c r="G2" s="6" t="s">
        <v>23</v>
      </c>
      <c r="H2" s="36" t="s">
        <v>4</v>
      </c>
      <c r="I2" s="36"/>
      <c r="J2" s="22" t="s">
        <v>26</v>
      </c>
      <c r="K2" s="22" t="s">
        <v>35</v>
      </c>
      <c r="L2" s="6" t="s">
        <v>47</v>
      </c>
      <c r="M2" s="6" t="s">
        <v>48</v>
      </c>
      <c r="N2" s="37" t="s">
        <v>28</v>
      </c>
      <c r="O2" s="37"/>
      <c r="P2" s="35" t="s">
        <v>46</v>
      </c>
      <c r="Q2" s="33" t="s">
        <v>38</v>
      </c>
      <c r="R2" s="20" t="s">
        <v>49</v>
      </c>
      <c r="S2" s="37" t="s">
        <v>39</v>
      </c>
      <c r="T2" s="37"/>
      <c r="U2" s="37"/>
      <c r="V2" s="7" t="s">
        <v>18</v>
      </c>
      <c r="W2" s="36" t="s">
        <v>22</v>
      </c>
      <c r="X2" s="36"/>
    </row>
    <row r="3" spans="1:25" s="4" customFormat="1" ht="14.25" x14ac:dyDescent="0.2">
      <c r="A3" s="55"/>
      <c r="B3" s="8" t="s">
        <v>1</v>
      </c>
      <c r="C3" s="8" t="s">
        <v>8</v>
      </c>
      <c r="D3" s="8" t="s">
        <v>12</v>
      </c>
      <c r="E3" s="8" t="s">
        <v>1</v>
      </c>
      <c r="F3" s="8" t="s">
        <v>3</v>
      </c>
      <c r="G3" s="8" t="s">
        <v>24</v>
      </c>
      <c r="H3" s="8" t="s">
        <v>5</v>
      </c>
      <c r="I3" s="8" t="s">
        <v>6</v>
      </c>
      <c r="J3" s="8" t="s">
        <v>27</v>
      </c>
      <c r="K3" s="8"/>
      <c r="L3" s="8" t="s">
        <v>7</v>
      </c>
      <c r="M3" s="8" t="s">
        <v>7</v>
      </c>
      <c r="N3" s="8" t="s">
        <v>16</v>
      </c>
      <c r="O3" s="15" t="s">
        <v>17</v>
      </c>
      <c r="P3" s="15"/>
      <c r="Q3" s="9" t="s">
        <v>17</v>
      </c>
      <c r="R3" s="15" t="s">
        <v>6</v>
      </c>
      <c r="S3" s="15" t="s">
        <v>14</v>
      </c>
      <c r="T3" s="9" t="s">
        <v>15</v>
      </c>
      <c r="U3" s="15" t="s">
        <v>13</v>
      </c>
      <c r="V3" s="15" t="s">
        <v>19</v>
      </c>
      <c r="W3" s="15" t="s">
        <v>20</v>
      </c>
      <c r="X3" s="9" t="s">
        <v>21</v>
      </c>
    </row>
    <row r="4" spans="1:25" s="14" customFormat="1" x14ac:dyDescent="0.2">
      <c r="B4" s="30">
        <v>485</v>
      </c>
      <c r="C4" s="23">
        <f>$D$14/(B4/1000000000)</f>
        <v>618144329896907.25</v>
      </c>
      <c r="D4" s="23">
        <f>$D$15*C4</f>
        <v>4.0958676247257735E-19</v>
      </c>
      <c r="E4" s="16">
        <v>800</v>
      </c>
      <c r="F4" s="23">
        <f>3.1417*(E4/2/1000000000)^2</f>
        <v>5.0267199999999996E-13</v>
      </c>
      <c r="G4" s="24">
        <v>0.5</v>
      </c>
      <c r="H4" s="16">
        <v>50</v>
      </c>
      <c r="I4" s="23">
        <f>H4/1000000000000</f>
        <v>5.0000000000000002E-11</v>
      </c>
      <c r="J4" s="32">
        <v>100</v>
      </c>
      <c r="K4" s="17" t="s">
        <v>36</v>
      </c>
      <c r="L4" s="23">
        <v>5.63E-5</v>
      </c>
      <c r="M4" s="23">
        <f>L4/(I4*G4*10^6)</f>
        <v>2.2519999999999998</v>
      </c>
      <c r="N4" s="24">
        <f>M4*I4/F4</f>
        <v>224.00292835089283</v>
      </c>
      <c r="O4" s="27">
        <f>N4*1000/10000</f>
        <v>22.400292835089282</v>
      </c>
      <c r="P4" s="49">
        <v>0.128</v>
      </c>
      <c r="Q4" s="51">
        <f>O4*P4</f>
        <v>2.867237482891428</v>
      </c>
      <c r="R4" s="24">
        <f>$R$7*$Q$7/Q4</f>
        <v>0.55062166962699832</v>
      </c>
      <c r="S4" s="52">
        <f>M4*I4*P4</f>
        <v>1.4412799999999999E-11</v>
      </c>
      <c r="T4" s="29">
        <f>S4*1000000000000</f>
        <v>14.412799999999999</v>
      </c>
      <c r="U4" s="16">
        <f>S4*6242000000000000</f>
        <v>89964.6976</v>
      </c>
      <c r="V4" s="23">
        <f>S4/D4</f>
        <v>35188637.232788898</v>
      </c>
      <c r="W4" s="23">
        <f>V4/F4</f>
        <v>7.0003177485097443E+19</v>
      </c>
      <c r="X4" s="28">
        <f>W4/10000</f>
        <v>7000317748509744</v>
      </c>
      <c r="Y4" s="25"/>
    </row>
    <row r="5" spans="1:25" s="14" customFormat="1" x14ac:dyDescent="0.2">
      <c r="B5" s="30">
        <v>485</v>
      </c>
      <c r="C5" s="23">
        <f>$D$14/(B5/1000000000)</f>
        <v>618144329896907.25</v>
      </c>
      <c r="D5" s="23">
        <f>$D$15*C5</f>
        <v>4.0958676247257735E-19</v>
      </c>
      <c r="E5" s="16">
        <v>800</v>
      </c>
      <c r="F5" s="23">
        <f>3.1417*(E5/2/1000000000)^2</f>
        <v>5.0267199999999996E-13</v>
      </c>
      <c r="G5" s="24">
        <v>0.5</v>
      </c>
      <c r="H5" s="16">
        <v>50</v>
      </c>
      <c r="I5" s="23">
        <f>H5/1000000000000</f>
        <v>5.0000000000000002E-11</v>
      </c>
      <c r="J5" s="32">
        <v>81</v>
      </c>
      <c r="K5" s="17" t="s">
        <v>36</v>
      </c>
      <c r="L5" s="23">
        <v>2.8200000000000001E-5</v>
      </c>
      <c r="M5" s="23">
        <f>L5/(I5*G5*10^6)</f>
        <v>1.1279999999999999</v>
      </c>
      <c r="N5" s="24">
        <f>M5*I5/F5</f>
        <v>112.20040105675271</v>
      </c>
      <c r="O5" s="27">
        <f>N5*1000/10000</f>
        <v>11.220040105675272</v>
      </c>
      <c r="P5" s="49">
        <v>0.128</v>
      </c>
      <c r="Q5" s="51">
        <f>O5*P5</f>
        <v>1.4361651335264349</v>
      </c>
      <c r="R5" s="24">
        <f>$R$7*$Q$7/Q5</f>
        <v>1.0992907801418439</v>
      </c>
      <c r="S5" s="52">
        <f>M5*I5*P5</f>
        <v>7.2191999999999998E-12</v>
      </c>
      <c r="T5" s="29">
        <f>S5*1000000000000</f>
        <v>7.2191999999999998</v>
      </c>
      <c r="U5" s="16">
        <f>S5*6242000000000000</f>
        <v>45062.246399999996</v>
      </c>
      <c r="V5" s="23">
        <f>S5/D5</f>
        <v>17625569.626370285</v>
      </c>
      <c r="W5" s="23">
        <f>V5/F5</f>
        <v>3.5063758527171367E+19</v>
      </c>
      <c r="X5" s="28">
        <f>W5/10000</f>
        <v>3506375852717136.5</v>
      </c>
      <c r="Y5" s="25"/>
    </row>
    <row r="6" spans="1:25" s="14" customFormat="1" x14ac:dyDescent="0.2">
      <c r="B6" s="30">
        <v>485</v>
      </c>
      <c r="C6" s="23">
        <f>$D$14/(B6/1000000000)</f>
        <v>618144329896907.25</v>
      </c>
      <c r="D6" s="23">
        <f>$D$15*C6</f>
        <v>4.0958676247257735E-19</v>
      </c>
      <c r="E6" s="16">
        <v>800</v>
      </c>
      <c r="F6" s="23">
        <f>3.1417*(E6/2/1000000000)^2</f>
        <v>5.0267199999999996E-13</v>
      </c>
      <c r="G6" s="24">
        <v>0.5</v>
      </c>
      <c r="H6" s="16">
        <v>50</v>
      </c>
      <c r="I6" s="23">
        <f>H6/1000000000000</f>
        <v>5.0000000000000002E-11</v>
      </c>
      <c r="J6" s="32">
        <v>70.3</v>
      </c>
      <c r="K6" s="17" t="s">
        <v>36</v>
      </c>
      <c r="L6" s="23">
        <v>1.4600000000000001E-5</v>
      </c>
      <c r="M6" s="23">
        <f>L6/(I6*G6*10^6)</f>
        <v>0.58399999999999996</v>
      </c>
      <c r="N6" s="24">
        <f>M6*I6/F6</f>
        <v>58.089569341439351</v>
      </c>
      <c r="O6" s="27">
        <f>N6*1000/10000</f>
        <v>5.8089569341439358</v>
      </c>
      <c r="P6" s="49">
        <v>0.128</v>
      </c>
      <c r="Q6" s="51">
        <f>O6*P6</f>
        <v>0.74354648757042374</v>
      </c>
      <c r="R6" s="24">
        <f>$R$7*$Q$7/Q6</f>
        <v>2.1232876712328768</v>
      </c>
      <c r="S6" s="52">
        <f>M6*I6*P6</f>
        <v>3.7375999999999997E-12</v>
      </c>
      <c r="T6" s="29">
        <f>S6*1000000000000</f>
        <v>3.7375999999999996</v>
      </c>
      <c r="U6" s="16">
        <f>S6*6242000000000000</f>
        <v>23330.099199999997</v>
      </c>
      <c r="V6" s="23">
        <f>S6/D6</f>
        <v>9125294.9129434805</v>
      </c>
      <c r="W6" s="23">
        <f>V6/F6</f>
        <v>1.8153577109812126E+19</v>
      </c>
      <c r="X6" s="28">
        <f>W6/10000</f>
        <v>1815357710981212.5</v>
      </c>
      <c r="Y6" s="25"/>
    </row>
    <row r="7" spans="1:25" s="38" customFormat="1" x14ac:dyDescent="0.2">
      <c r="A7" s="55" t="s">
        <v>50</v>
      </c>
      <c r="B7" s="39">
        <v>485</v>
      </c>
      <c r="C7" s="40">
        <f>$D$14/(B7/1000000000)</f>
        <v>618144329896907.25</v>
      </c>
      <c r="D7" s="40">
        <f>$D$15*C7</f>
        <v>4.0958676247257735E-19</v>
      </c>
      <c r="E7" s="41">
        <v>800</v>
      </c>
      <c r="F7" s="40">
        <f t="shared" ref="F7" si="0">3.1417*(E7/2/1000000000)^2</f>
        <v>5.0267199999999996E-13</v>
      </c>
      <c r="G7" s="42">
        <v>0.5</v>
      </c>
      <c r="H7" s="41">
        <v>50</v>
      </c>
      <c r="I7" s="40">
        <f t="shared" ref="I7" si="1">H7/1000000000000</f>
        <v>5.0000000000000002E-11</v>
      </c>
      <c r="J7" s="48">
        <v>62</v>
      </c>
      <c r="K7" s="43" t="s">
        <v>36</v>
      </c>
      <c r="L7" s="40">
        <v>7.7500000000000003E-6</v>
      </c>
      <c r="M7" s="40">
        <f>L7/(I7*G7*10^6)</f>
        <v>0.31</v>
      </c>
      <c r="N7" s="42">
        <f>M7*I7/F7</f>
        <v>30.835216602476372</v>
      </c>
      <c r="O7" s="44">
        <f t="shared" ref="O7" si="2">N7*1000/10000</f>
        <v>3.0835216602476372</v>
      </c>
      <c r="P7" s="44">
        <v>0.128</v>
      </c>
      <c r="Q7" s="50">
        <f>O7*P7</f>
        <v>0.39469077251169754</v>
      </c>
      <c r="R7" s="42">
        <v>4</v>
      </c>
      <c r="S7" s="40">
        <f>M7*I7*P7</f>
        <v>1.984E-12</v>
      </c>
      <c r="T7" s="45">
        <f t="shared" ref="T7" si="3">S7*1000000000000</f>
        <v>1.984</v>
      </c>
      <c r="U7" s="41">
        <f t="shared" ref="U7" si="4">S7*6242000000000000</f>
        <v>12384.128000000001</v>
      </c>
      <c r="V7" s="40">
        <f>S7/D7</f>
        <v>4843906.5462542456</v>
      </c>
      <c r="W7" s="40">
        <f>V7/F7</f>
        <v>9.6363166165098639E+18</v>
      </c>
      <c r="X7" s="46">
        <f t="shared" ref="X7" si="5">W7/10000</f>
        <v>963631661650986.38</v>
      </c>
      <c r="Y7" s="47"/>
    </row>
    <row r="8" spans="1:25" s="14" customFormat="1" x14ac:dyDescent="0.2">
      <c r="A8" s="56"/>
      <c r="B8" s="30">
        <v>485</v>
      </c>
      <c r="C8" s="23">
        <f>$D$14/(B8/1000000000)</f>
        <v>618144329896907.25</v>
      </c>
      <c r="D8" s="23">
        <f>$D$15*C8</f>
        <v>4.0958676247257735E-19</v>
      </c>
      <c r="E8" s="31">
        <v>800</v>
      </c>
      <c r="F8" s="23">
        <f t="shared" ref="F8" si="6">3.1417*(E8/2/1000000000)^2</f>
        <v>5.0267199999999996E-13</v>
      </c>
      <c r="G8" s="24">
        <v>0.5</v>
      </c>
      <c r="H8" s="16">
        <v>50</v>
      </c>
      <c r="I8" s="23">
        <f t="shared" ref="I8" si="7">H8/1000000000000</f>
        <v>5.0000000000000002E-11</v>
      </c>
      <c r="J8" s="32">
        <v>56.5</v>
      </c>
      <c r="K8" s="17" t="s">
        <v>36</v>
      </c>
      <c r="L8" s="23">
        <v>2.43E-6</v>
      </c>
      <c r="M8" s="23">
        <f>L8/(I8*G8*10^6)</f>
        <v>9.7199999999999995E-2</v>
      </c>
      <c r="N8" s="24">
        <f>M8*I8/F8</f>
        <v>9.6683324314861387</v>
      </c>
      <c r="O8" s="27">
        <f t="shared" ref="O8" si="8">N8*1000/10000</f>
        <v>0.96683324314861385</v>
      </c>
      <c r="P8" s="49">
        <v>0.128</v>
      </c>
      <c r="Q8" s="51">
        <f t="shared" ref="Q8:Q11" si="9">O8*P8</f>
        <v>0.12375465512302257</v>
      </c>
      <c r="R8" s="24">
        <f t="shared" ref="R8" si="10">$R$7*$Q$7/Q8</f>
        <v>12.757201646090536</v>
      </c>
      <c r="S8" s="52">
        <f t="shared" ref="S8:S11" si="11">M8*I8*P8</f>
        <v>6.2208000000000001E-13</v>
      </c>
      <c r="T8" s="29">
        <f t="shared" ref="T8" si="12">S8*1000000000000</f>
        <v>0.62207999999999997</v>
      </c>
      <c r="U8" s="16">
        <f t="shared" ref="U8" si="13">S8*6242000000000000</f>
        <v>3883.0233600000001</v>
      </c>
      <c r="V8" s="23">
        <f>S8/D8</f>
        <v>1518799.0848255246</v>
      </c>
      <c r="W8" s="23">
        <f>V8/F8</f>
        <v>3.0214515326605117E+18</v>
      </c>
      <c r="X8" s="28">
        <f t="shared" ref="X8" si="14">W8/10000</f>
        <v>302145153266051.19</v>
      </c>
      <c r="Y8" s="25"/>
    </row>
    <row r="9" spans="1:25" s="38" customFormat="1" x14ac:dyDescent="0.2">
      <c r="A9" s="55" t="s">
        <v>51</v>
      </c>
      <c r="B9" s="39">
        <v>485</v>
      </c>
      <c r="C9" s="40">
        <f>$D$14/(B9/1000000000)</f>
        <v>618144329896907.25</v>
      </c>
      <c r="D9" s="40">
        <f>$D$15*C9</f>
        <v>4.0958676247257735E-19</v>
      </c>
      <c r="E9" s="38">
        <v>800</v>
      </c>
      <c r="F9" s="40">
        <f>3.1417*(E9/2/1000000000)^2</f>
        <v>5.0267199999999996E-13</v>
      </c>
      <c r="G9" s="42">
        <v>0.5</v>
      </c>
      <c r="H9" s="41">
        <v>50</v>
      </c>
      <c r="I9" s="40">
        <f>H9/1000000000000</f>
        <v>5.0000000000000002E-11</v>
      </c>
      <c r="J9" s="48">
        <v>62</v>
      </c>
      <c r="K9" s="48" t="s">
        <v>37</v>
      </c>
      <c r="L9" s="40">
        <v>9.9999999999999995E-7</v>
      </c>
      <c r="M9" s="40">
        <f>L9/(I9*G9*10^6)</f>
        <v>3.9999999999999994E-2</v>
      </c>
      <c r="N9" s="42">
        <f>M9*I9/F9</f>
        <v>3.9787376261259828</v>
      </c>
      <c r="O9" s="44">
        <f>N9*1000/10000</f>
        <v>0.39787376261259827</v>
      </c>
      <c r="P9" s="44">
        <v>0.128</v>
      </c>
      <c r="Q9" s="50">
        <f t="shared" si="9"/>
        <v>5.0927841614412578E-2</v>
      </c>
      <c r="R9" s="42">
        <f>$R$7*$Q$7/Q9</f>
        <v>31.000000000000004</v>
      </c>
      <c r="S9" s="40">
        <f t="shared" si="11"/>
        <v>2.5600000000000002E-13</v>
      </c>
      <c r="T9" s="45">
        <f>S9*1000000000000</f>
        <v>0.25600000000000001</v>
      </c>
      <c r="U9" s="41">
        <f>S9*6242000000000000</f>
        <v>1597.9520000000002</v>
      </c>
      <c r="V9" s="40">
        <f>S9/D9</f>
        <v>625020.19951667683</v>
      </c>
      <c r="W9" s="40">
        <f>V9/F9</f>
        <v>1.2433956924528855E+18</v>
      </c>
      <c r="X9" s="46">
        <f>W9/10000</f>
        <v>124339569245288.55</v>
      </c>
      <c r="Y9" s="47"/>
    </row>
    <row r="10" spans="1:25" s="14" customFormat="1" x14ac:dyDescent="0.2">
      <c r="B10" s="30">
        <v>485</v>
      </c>
      <c r="C10" s="23">
        <f>$D$14/(B10/1000000000)</f>
        <v>618144329896907.25</v>
      </c>
      <c r="D10" s="23">
        <f>$D$15*C10</f>
        <v>4.0958676247257735E-19</v>
      </c>
      <c r="E10" s="31">
        <v>800</v>
      </c>
      <c r="F10" s="23">
        <f t="shared" ref="F10:F11" si="15">3.1417*(E10/2/1000000000)^2</f>
        <v>5.0267199999999996E-13</v>
      </c>
      <c r="G10" s="24">
        <v>0.5</v>
      </c>
      <c r="H10" s="16">
        <v>50</v>
      </c>
      <c r="I10" s="23">
        <f t="shared" ref="I10:I11" si="16">H10/1000000000000</f>
        <v>5.0000000000000002E-11</v>
      </c>
      <c r="J10" s="32">
        <v>56.5</v>
      </c>
      <c r="K10" s="32" t="s">
        <v>37</v>
      </c>
      <c r="L10" s="23">
        <v>2.9299999999999999E-7</v>
      </c>
      <c r="M10" s="23">
        <f>L10/(I10*G10*10^6)</f>
        <v>1.172E-2</v>
      </c>
      <c r="N10" s="24">
        <f>M10*I10/F10</f>
        <v>1.165770124454913</v>
      </c>
      <c r="O10" s="27">
        <f t="shared" ref="O10:O11" si="17">N10*1000/10000</f>
        <v>0.1165770124454913</v>
      </c>
      <c r="P10" s="49">
        <v>0.128</v>
      </c>
      <c r="Q10" s="51">
        <f t="shared" si="9"/>
        <v>1.4921857593022888E-2</v>
      </c>
      <c r="R10" s="24">
        <f t="shared" ref="R10:R11" si="18">$R$7*$Q$7/Q10</f>
        <v>105.80204778156997</v>
      </c>
      <c r="S10" s="52">
        <f t="shared" si="11"/>
        <v>7.5008000000000007E-14</v>
      </c>
      <c r="T10" s="29">
        <f t="shared" ref="T10:T11" si="19">S10*1000000000000</f>
        <v>7.5008000000000005E-2</v>
      </c>
      <c r="U10" s="16">
        <f t="shared" ref="U10:U11" si="20">S10*6242000000000000</f>
        <v>468.19993600000004</v>
      </c>
      <c r="V10" s="23">
        <f>S10/D10</f>
        <v>183130.91845838632</v>
      </c>
      <c r="W10" s="23">
        <f>V10/F10</f>
        <v>3.6431493788869549E+17</v>
      </c>
      <c r="X10" s="28">
        <f t="shared" ref="X10:X11" si="21">W10/10000</f>
        <v>36431493788869.547</v>
      </c>
      <c r="Y10" s="25"/>
    </row>
    <row r="11" spans="1:25" s="14" customFormat="1" x14ac:dyDescent="0.2">
      <c r="B11" s="30">
        <v>485</v>
      </c>
      <c r="C11" s="23">
        <f>$D$14/(B11/1000000000)</f>
        <v>618144329896907.25</v>
      </c>
      <c r="D11" s="23">
        <f>$D$15*C11</f>
        <v>4.0958676247257735E-19</v>
      </c>
      <c r="E11" s="31">
        <v>800</v>
      </c>
      <c r="F11" s="23">
        <f t="shared" si="15"/>
        <v>5.0267199999999996E-13</v>
      </c>
      <c r="G11" s="24">
        <v>0.5</v>
      </c>
      <c r="H11" s="16">
        <v>50</v>
      </c>
      <c r="I11" s="23">
        <f t="shared" si="16"/>
        <v>5.0000000000000002E-11</v>
      </c>
      <c r="J11" s="32">
        <v>54.7</v>
      </c>
      <c r="K11" s="32" t="s">
        <v>37</v>
      </c>
      <c r="L11" s="23">
        <v>9.8000000000000004E-8</v>
      </c>
      <c r="M11" s="23">
        <f>L11/(I11*G11*10^6)</f>
        <v>3.9199999999999999E-3</v>
      </c>
      <c r="N11" s="24">
        <f>M11*I11/F11</f>
        <v>0.38991628736034634</v>
      </c>
      <c r="O11" s="27">
        <f t="shared" si="17"/>
        <v>3.8991628736034636E-2</v>
      </c>
      <c r="P11" s="49">
        <v>0.128</v>
      </c>
      <c r="Q11" s="51">
        <f t="shared" si="9"/>
        <v>4.9909284782124336E-3</v>
      </c>
      <c r="R11" s="24">
        <f t="shared" si="18"/>
        <v>316.32653061224488</v>
      </c>
      <c r="S11" s="52">
        <f t="shared" si="11"/>
        <v>2.5088000000000001E-14</v>
      </c>
      <c r="T11" s="29">
        <f t="shared" si="19"/>
        <v>2.5087999999999999E-2</v>
      </c>
      <c r="U11" s="16">
        <f t="shared" si="20"/>
        <v>156.59929600000001</v>
      </c>
      <c r="V11" s="23">
        <f>S11/D11</f>
        <v>61251.97955263433</v>
      </c>
      <c r="W11" s="23">
        <f>V11/F11</f>
        <v>1.2185277786038278E+17</v>
      </c>
      <c r="X11" s="28">
        <f t="shared" si="21"/>
        <v>12185277786038.279</v>
      </c>
      <c r="Y11" s="25"/>
    </row>
    <row r="12" spans="1:25" x14ac:dyDescent="0.2">
      <c r="D12" s="2"/>
      <c r="E12" s="3"/>
      <c r="F12" s="2"/>
      <c r="G12" s="2"/>
      <c r="H12" s="3"/>
      <c r="I12" s="10"/>
      <c r="L12" s="2"/>
      <c r="M12" s="2"/>
      <c r="N12" s="2"/>
      <c r="O12" s="13"/>
      <c r="P12" s="13"/>
      <c r="Q12" s="18"/>
      <c r="R12" s="19"/>
      <c r="S12" s="25"/>
      <c r="T12" s="26"/>
      <c r="U12" s="25"/>
      <c r="V12" s="25"/>
      <c r="W12" s="25"/>
      <c r="X12" s="34"/>
      <c r="Y12" s="2"/>
    </row>
    <row r="13" spans="1:25" x14ac:dyDescent="0.2">
      <c r="B13" s="1" t="s">
        <v>29</v>
      </c>
      <c r="J13"/>
      <c r="K13"/>
      <c r="R13"/>
      <c r="S13"/>
      <c r="T13"/>
      <c r="U13"/>
      <c r="V13"/>
      <c r="W13"/>
    </row>
    <row r="14" spans="1:25" x14ac:dyDescent="0.2">
      <c r="B14" t="s">
        <v>30</v>
      </c>
      <c r="D14">
        <v>299800000</v>
      </c>
      <c r="J14"/>
      <c r="K14"/>
      <c r="R14"/>
      <c r="S14"/>
      <c r="T14"/>
      <c r="U14"/>
      <c r="V14"/>
      <c r="W14"/>
    </row>
    <row r="15" spans="1:25" x14ac:dyDescent="0.2">
      <c r="B15" t="s">
        <v>31</v>
      </c>
      <c r="D15" s="2">
        <v>6.6260700399999999E-34</v>
      </c>
      <c r="J15"/>
      <c r="K15"/>
      <c r="R15"/>
      <c r="S15"/>
      <c r="T15"/>
      <c r="U15"/>
      <c r="V15"/>
      <c r="W15"/>
    </row>
    <row r="16" spans="1:25" x14ac:dyDescent="0.2">
      <c r="J16"/>
      <c r="K16"/>
      <c r="R16"/>
      <c r="S16"/>
      <c r="T16"/>
      <c r="U16"/>
      <c r="V16"/>
      <c r="W16"/>
    </row>
    <row r="17" spans="2:23" x14ac:dyDescent="0.2">
      <c r="B17" s="1" t="s">
        <v>32</v>
      </c>
      <c r="J17"/>
      <c r="K17"/>
      <c r="R17"/>
      <c r="S17"/>
      <c r="T17"/>
      <c r="U17"/>
      <c r="V17"/>
      <c r="W17"/>
    </row>
    <row r="18" spans="2:23" x14ac:dyDescent="0.2">
      <c r="B18" t="s">
        <v>33</v>
      </c>
      <c r="J18"/>
      <c r="K18"/>
      <c r="R18"/>
      <c r="S18"/>
      <c r="T18"/>
      <c r="U18"/>
      <c r="V18"/>
      <c r="W18"/>
    </row>
    <row r="19" spans="2:23" x14ac:dyDescent="0.2">
      <c r="B19" t="s">
        <v>34</v>
      </c>
      <c r="J19"/>
      <c r="K19"/>
      <c r="R19"/>
      <c r="S19"/>
      <c r="T19"/>
      <c r="U19"/>
      <c r="V19"/>
      <c r="W19"/>
    </row>
    <row r="20" spans="2:23" x14ac:dyDescent="0.2">
      <c r="J20"/>
      <c r="K20"/>
      <c r="R20"/>
      <c r="S20"/>
      <c r="T20"/>
      <c r="U20"/>
      <c r="V20"/>
      <c r="W20"/>
    </row>
    <row r="21" spans="2:23" x14ac:dyDescent="0.2">
      <c r="J21"/>
      <c r="K21"/>
      <c r="R21"/>
      <c r="S21"/>
      <c r="T21"/>
      <c r="U21"/>
      <c r="V21"/>
      <c r="W21"/>
    </row>
    <row r="22" spans="2:23" x14ac:dyDescent="0.2">
      <c r="B22" t="s">
        <v>45</v>
      </c>
      <c r="J22"/>
      <c r="K22"/>
      <c r="R22"/>
      <c r="S22"/>
      <c r="T22"/>
      <c r="U22"/>
      <c r="V22"/>
      <c r="W22"/>
    </row>
    <row r="23" spans="2:23" x14ac:dyDescent="0.2">
      <c r="C23" t="s">
        <v>40</v>
      </c>
      <c r="J23"/>
      <c r="K23"/>
      <c r="R23"/>
      <c r="S23"/>
      <c r="T23"/>
      <c r="U23"/>
      <c r="V23"/>
      <c r="W23"/>
    </row>
    <row r="24" spans="2:23" x14ac:dyDescent="0.2">
      <c r="C24" t="s">
        <v>41</v>
      </c>
      <c r="J24"/>
      <c r="K24"/>
      <c r="R24"/>
      <c r="S24"/>
      <c r="T24"/>
      <c r="U24"/>
      <c r="V24"/>
      <c r="W24"/>
    </row>
    <row r="25" spans="2:23" x14ac:dyDescent="0.2">
      <c r="J25"/>
      <c r="K25"/>
      <c r="R25"/>
      <c r="S25"/>
      <c r="T25"/>
      <c r="U25"/>
      <c r="V25"/>
      <c r="W25"/>
    </row>
    <row r="26" spans="2:23" x14ac:dyDescent="0.2">
      <c r="B26" s="12" t="s">
        <v>42</v>
      </c>
      <c r="C26" t="s">
        <v>43</v>
      </c>
      <c r="F26" s="11" t="s">
        <v>44</v>
      </c>
      <c r="J26"/>
      <c r="K26"/>
      <c r="R26"/>
      <c r="S26"/>
      <c r="T26"/>
      <c r="U26"/>
      <c r="V26"/>
      <c r="W26"/>
    </row>
    <row r="27" spans="2:23" x14ac:dyDescent="0.2">
      <c r="F27" s="12" t="s">
        <v>25</v>
      </c>
      <c r="J27"/>
      <c r="K27"/>
      <c r="R27"/>
      <c r="S27"/>
      <c r="T27"/>
      <c r="U27"/>
      <c r="V27"/>
      <c r="W27"/>
    </row>
    <row r="28" spans="2:23" x14ac:dyDescent="0.2">
      <c r="J28"/>
      <c r="K28"/>
      <c r="R28"/>
      <c r="S28"/>
      <c r="T28"/>
      <c r="U28"/>
      <c r="V28"/>
      <c r="W28"/>
    </row>
  </sheetData>
  <mergeCells count="4">
    <mergeCell ref="H2:I2"/>
    <mergeCell ref="N2:O2"/>
    <mergeCell ref="S2:U2"/>
    <mergeCell ref="W2:X2"/>
  </mergeCells>
  <hyperlinks>
    <hyperlink ref="F26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G. Adams</dc:creator>
  <cp:lastModifiedBy>Peter Adams</cp:lastModifiedBy>
  <dcterms:created xsi:type="dcterms:W3CDTF">2018-01-17T09:58:39Z</dcterms:created>
  <dcterms:modified xsi:type="dcterms:W3CDTF">2018-06-05T20:24:07Z</dcterms:modified>
</cp:coreProperties>
</file>