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leeds365-my.sharepoint.com/personal/mengda_leeds_ac_uk/Documents/01 - Research/All Bone Cement/DataPacket/"/>
    </mc:Choice>
  </mc:AlternateContent>
  <xr:revisionPtr revIDLastSave="1546" documentId="11_D054029161AA8182F8DCA0BBA8B9B3C851A24C0D" xr6:coauthVersionLast="47" xr6:coauthVersionMax="47" xr10:uidLastSave="{212E234F-AE6B-4793-A329-EA61E44A212B}"/>
  <bookViews>
    <workbookView xWindow="-120" yWindow="-120" windowWidth="29040" windowHeight="15720" firstSheet="1" activeTab="4" xr2:uid="{00000000-000D-0000-FFFF-FFFF00000000}"/>
  </bookViews>
  <sheets>
    <sheet name="Mass and Volume Calculations" sheetId="3" r:id="rId1"/>
    <sheet name="Strength Properties (INSTRON)" sheetId="12" r:id="rId2"/>
    <sheet name="Combined Mass &amp; Strength Data" sheetId="6" r:id="rId3"/>
    <sheet name="Porosity Percentages (SCAN IP)" sheetId="5" r:id="rId4"/>
    <sheet name="Test Day Observations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3" l="1"/>
  <c r="K58" i="3" s="1"/>
  <c r="H3" i="5"/>
  <c r="E38" i="6"/>
  <c r="H38" i="6"/>
  <c r="J38" i="6"/>
  <c r="G43" i="6"/>
  <c r="G44" i="6"/>
  <c r="G45" i="6"/>
  <c r="G46" i="6"/>
  <c r="G47" i="6"/>
  <c r="G38" i="6"/>
  <c r="G39" i="6"/>
  <c r="G40" i="6"/>
  <c r="G41" i="6"/>
  <c r="G42" i="6"/>
  <c r="F38" i="5"/>
  <c r="F4" i="5"/>
  <c r="L46" i="5"/>
  <c r="F12" i="5"/>
  <c r="F11" i="5"/>
  <c r="F10" i="5"/>
  <c r="F9" i="5"/>
  <c r="F8" i="5"/>
  <c r="F7" i="5"/>
  <c r="F27" i="5"/>
  <c r="F26" i="5"/>
  <c r="F25" i="5"/>
  <c r="F24" i="5"/>
  <c r="F23" i="5"/>
  <c r="F32" i="5"/>
  <c r="F31" i="5"/>
  <c r="F30" i="5"/>
  <c r="F29" i="5"/>
  <c r="F28" i="5"/>
  <c r="F37" i="5"/>
  <c r="F36" i="5"/>
  <c r="F35" i="5"/>
  <c r="F34" i="5"/>
  <c r="F33" i="5"/>
  <c r="F47" i="5"/>
  <c r="F46" i="5"/>
  <c r="F45" i="5"/>
  <c r="F44" i="5"/>
  <c r="F43" i="5"/>
  <c r="F42" i="5"/>
  <c r="F41" i="5"/>
  <c r="G33" i="5" l="1"/>
  <c r="H33" i="5" s="1"/>
  <c r="G8" i="5"/>
  <c r="H8" i="5" s="1"/>
  <c r="G23" i="5"/>
  <c r="H23" i="5" s="1"/>
  <c r="G43" i="5"/>
  <c r="H43" i="5" s="1"/>
  <c r="G28" i="5"/>
  <c r="H28" i="5" s="1"/>
  <c r="F13" i="5"/>
  <c r="F6" i="5" l="1"/>
  <c r="F5" i="5"/>
  <c r="F3" i="5"/>
  <c r="E28" i="6" l="1"/>
  <c r="G3" i="5"/>
  <c r="F14" i="5"/>
  <c r="F40" i="5"/>
  <c r="F39" i="5"/>
  <c r="G38" i="5" l="1"/>
  <c r="H38" i="5" s="1"/>
  <c r="E8" i="6"/>
  <c r="E13" i="6"/>
  <c r="E18" i="6"/>
  <c r="E23" i="6"/>
  <c r="E33" i="6"/>
  <c r="E43" i="6"/>
  <c r="E3" i="6"/>
  <c r="O38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9" i="6"/>
  <c r="O40" i="6"/>
  <c r="O41" i="6"/>
  <c r="O42" i="6"/>
  <c r="O43" i="6"/>
  <c r="O44" i="6"/>
  <c r="O45" i="6"/>
  <c r="O46" i="6"/>
  <c r="O47" i="6"/>
  <c r="O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3" i="6"/>
  <c r="J3" i="6"/>
  <c r="J8" i="6"/>
  <c r="J13" i="6"/>
  <c r="J18" i="6"/>
  <c r="J23" i="6"/>
  <c r="J28" i="6"/>
  <c r="J33" i="6"/>
  <c r="J43" i="6"/>
  <c r="G37" i="6"/>
  <c r="G36" i="6"/>
  <c r="G35" i="6"/>
  <c r="G34" i="6"/>
  <c r="G33" i="6"/>
  <c r="H33" i="6" s="1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I44" i="3"/>
  <c r="F22" i="5"/>
  <c r="F18" i="5"/>
  <c r="F19" i="5"/>
  <c r="F21" i="5"/>
  <c r="F20" i="5"/>
  <c r="F16" i="5"/>
  <c r="F15" i="5"/>
  <c r="G13" i="5" s="1"/>
  <c r="H13" i="5" s="1"/>
  <c r="K44" i="3" l="1"/>
  <c r="G18" i="5"/>
  <c r="H18" i="5" s="1"/>
  <c r="H23" i="6"/>
  <c r="H8" i="6"/>
  <c r="H43" i="6"/>
  <c r="H18" i="6"/>
  <c r="H28" i="6"/>
  <c r="H13" i="6"/>
  <c r="H3" i="6"/>
  <c r="I5" i="3" l="1"/>
  <c r="K5" i="3" s="1"/>
  <c r="I6" i="3"/>
  <c r="K6" i="3" s="1"/>
  <c r="I7" i="3"/>
  <c r="K7" i="3" s="1"/>
  <c r="I8" i="3"/>
  <c r="K8" i="3" s="1"/>
  <c r="I9" i="3"/>
  <c r="K9" i="3" s="1"/>
  <c r="I10" i="3"/>
  <c r="K10" i="3" s="1"/>
  <c r="I11" i="3"/>
  <c r="K11" i="3" s="1"/>
  <c r="I12" i="3"/>
  <c r="K12" i="3" s="1"/>
  <c r="I13" i="3"/>
  <c r="K13" i="3" s="1"/>
  <c r="I14" i="3"/>
  <c r="K14" i="3" s="1"/>
  <c r="I15" i="3"/>
  <c r="K15" i="3" s="1"/>
  <c r="I16" i="3"/>
  <c r="K16" i="3" s="1"/>
  <c r="I17" i="3"/>
  <c r="K17" i="3" s="1"/>
  <c r="I18" i="3"/>
  <c r="K18" i="3" s="1"/>
  <c r="I19" i="3"/>
  <c r="K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27" i="3"/>
  <c r="K27" i="3" s="1"/>
  <c r="I28" i="3"/>
  <c r="K28" i="3" s="1"/>
  <c r="I29" i="3"/>
  <c r="K29" i="3" s="1"/>
  <c r="I30" i="3"/>
  <c r="K30" i="3" s="1"/>
  <c r="I31" i="3"/>
  <c r="K31" i="3" s="1"/>
  <c r="I32" i="3"/>
  <c r="K32" i="3" s="1"/>
  <c r="I33" i="3"/>
  <c r="K33" i="3" s="1"/>
  <c r="I34" i="3"/>
  <c r="K34" i="3" s="1"/>
  <c r="I35" i="3"/>
  <c r="K35" i="3" s="1"/>
  <c r="I36" i="3"/>
  <c r="K36" i="3" s="1"/>
  <c r="I37" i="3"/>
  <c r="K37" i="3" s="1"/>
  <c r="I38" i="3"/>
  <c r="K38" i="3" s="1"/>
  <c r="I39" i="3"/>
  <c r="I40" i="3"/>
  <c r="K40" i="3" s="1"/>
  <c r="I41" i="3"/>
  <c r="K41" i="3" s="1"/>
  <c r="I42" i="3"/>
  <c r="K42" i="3" s="1"/>
  <c r="I43" i="3"/>
  <c r="K43" i="3" s="1"/>
  <c r="I45" i="3"/>
  <c r="I46" i="3"/>
  <c r="K46" i="3" s="1"/>
  <c r="I47" i="3"/>
  <c r="K47" i="3" s="1"/>
  <c r="I48" i="3"/>
  <c r="K48" i="3" s="1"/>
  <c r="I49" i="3"/>
  <c r="K49" i="3" s="1"/>
  <c r="I50" i="3"/>
  <c r="K50" i="3" s="1"/>
  <c r="I51" i="3"/>
  <c r="K51" i="3" s="1"/>
  <c r="I52" i="3"/>
  <c r="K52" i="3" s="1"/>
  <c r="I53" i="3"/>
  <c r="K53" i="3" s="1"/>
  <c r="I4" i="3"/>
  <c r="K4" i="3" s="1"/>
  <c r="L9" i="3" l="1"/>
  <c r="K45" i="3"/>
  <c r="L44" i="3" s="1"/>
  <c r="J44" i="3"/>
  <c r="L49" i="3"/>
  <c r="L39" i="3"/>
  <c r="L24" i="3"/>
  <c r="L4" i="3"/>
  <c r="L14" i="3"/>
  <c r="L19" i="3"/>
  <c r="L34" i="3"/>
  <c r="L29" i="3"/>
  <c r="M44" i="3"/>
  <c r="N44" i="3" s="1"/>
  <c r="J49" i="3"/>
  <c r="J39" i="3"/>
  <c r="J34" i="3"/>
  <c r="J29" i="3"/>
  <c r="J24" i="3"/>
  <c r="J19" i="3"/>
  <c r="J14" i="3"/>
  <c r="J9" i="3"/>
  <c r="J4" i="3"/>
  <c r="M4" i="3" l="1"/>
  <c r="N4" i="3" s="1"/>
  <c r="M30" i="3"/>
  <c r="N30" i="3" s="1"/>
  <c r="M45" i="3"/>
  <c r="N45" i="3" s="1"/>
  <c r="M28" i="3"/>
  <c r="N28" i="3" s="1"/>
  <c r="M34" i="3"/>
  <c r="N34" i="3" s="1"/>
  <c r="M36" i="3"/>
  <c r="N36" i="3" s="1"/>
  <c r="M51" i="3"/>
  <c r="N51" i="3" s="1"/>
  <c r="M50" i="3"/>
  <c r="N50" i="3" s="1"/>
  <c r="M39" i="3"/>
  <c r="N39" i="3" s="1"/>
  <c r="M31" i="3"/>
  <c r="N31" i="3" s="1"/>
  <c r="M23" i="3"/>
  <c r="N23" i="3" s="1"/>
  <c r="M15" i="3"/>
  <c r="N15" i="3" s="1"/>
  <c r="M26" i="3"/>
  <c r="N26" i="3" s="1"/>
  <c r="M11" i="3"/>
  <c r="N11" i="3" s="1"/>
  <c r="M32" i="3"/>
  <c r="N32" i="3" s="1"/>
  <c r="M24" i="3"/>
  <c r="N24" i="3" s="1"/>
  <c r="M40" i="3"/>
  <c r="N40" i="3" s="1"/>
  <c r="M48" i="3"/>
  <c r="N48" i="3" s="1"/>
  <c r="M21" i="3"/>
  <c r="N21" i="3" s="1"/>
  <c r="M29" i="3"/>
  <c r="N29" i="3" s="1"/>
  <c r="M52" i="3"/>
  <c r="N52" i="3" s="1"/>
  <c r="M19" i="3"/>
  <c r="N19" i="3" s="1"/>
  <c r="M41" i="3"/>
  <c r="N41" i="3" s="1"/>
  <c r="M25" i="3"/>
  <c r="N25" i="3" s="1"/>
  <c r="M33" i="3"/>
  <c r="N33" i="3" s="1"/>
  <c r="M49" i="3"/>
  <c r="N49" i="3" s="1"/>
  <c r="M16" i="3"/>
  <c r="N16" i="3" s="1"/>
  <c r="M42" i="3"/>
  <c r="N42" i="3" s="1"/>
  <c r="M47" i="3"/>
  <c r="N47" i="3" s="1"/>
  <c r="M10" i="3"/>
  <c r="N10" i="3" s="1"/>
  <c r="M53" i="3"/>
  <c r="N53" i="3" s="1"/>
  <c r="M27" i="3"/>
  <c r="N27" i="3" s="1"/>
  <c r="M12" i="3"/>
  <c r="N12" i="3" s="1"/>
  <c r="M5" i="3"/>
  <c r="N5" i="3" s="1"/>
  <c r="M6" i="3"/>
  <c r="N6" i="3" s="1"/>
  <c r="M17" i="3"/>
  <c r="N17" i="3" s="1"/>
  <c r="M7" i="3"/>
  <c r="N7" i="3" s="1"/>
  <c r="M22" i="3"/>
  <c r="N22" i="3" s="1"/>
  <c r="M37" i="3"/>
  <c r="N37" i="3" s="1"/>
  <c r="M9" i="3"/>
  <c r="N9" i="3" s="1"/>
  <c r="M38" i="3"/>
  <c r="N38" i="3" s="1"/>
  <c r="M35" i="3"/>
  <c r="N35" i="3" s="1"/>
  <c r="M18" i="3"/>
  <c r="N18" i="3" s="1"/>
  <c r="M46" i="3"/>
  <c r="N46" i="3" s="1"/>
  <c r="M43" i="3"/>
  <c r="N43" i="3" s="1"/>
  <c r="M20" i="3"/>
  <c r="N20" i="3" s="1"/>
  <c r="M13" i="3"/>
  <c r="N13" i="3" s="1"/>
  <c r="M14" i="3"/>
  <c r="N14" i="3" s="1"/>
  <c r="M8" i="3"/>
  <c r="N8" i="3" s="1"/>
  <c r="O44" i="3" l="1"/>
  <c r="O39" i="3"/>
  <c r="O4" i="3"/>
  <c r="O24" i="3"/>
  <c r="O14" i="3"/>
  <c r="O19" i="3"/>
  <c r="O9" i="3"/>
  <c r="O34" i="3"/>
  <c r="O29" i="3"/>
  <c r="O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tc={0B0EA725-98D1-43C1-86A3-F0122E5CB695}</author>
  </authors>
  <commentList>
    <comment ref="B13" authorId="0" shapeId="0" xr:uid="{0B0EA725-98D1-43C1-86A3-F0122E5CB695}">
      <text>
        <t>[Threaded comment]
Your version of Excel allows you to read this threaded comment; however, any edits to it will get removed if the file is opened in a newer version of Excel. Learn more: https://go.microsoft.com/fwlink/?linkid=870924
Comment:
    Results don’t show great correlation, this could be due to distribution of pores as sample 2 performs so much worse even though it has similar weights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tc={BB34B482-45DE-4284-B1FF-A44A9DACCC7C}</author>
  </authors>
  <commentList>
    <comment ref="B13" authorId="0" shapeId="0" xr:uid="{00000000-0006-0000-01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Results don’t show great correlation, this could be due to distribution of pores as sample 2 performs so much worse even though it has similar weights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Barratt [mn20hb]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Harry Barratt [mn20hb]:</t>
        </r>
        <r>
          <rPr>
            <sz val="9"/>
            <color indexed="81"/>
            <rFont val="Tahoma"/>
            <charset val="1"/>
          </rPr>
          <t xml:space="preserve">
interesting Line of porosity down the middle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<sst xmlns="http://schemas.openxmlformats.org/spreadsheetml/2006/main" count="125" uniqueCount="70">
  <si>
    <t>Sample</t>
  </si>
  <si>
    <t>Number</t>
  </si>
  <si>
    <t>Mean</t>
  </si>
  <si>
    <t>Average Across 5 Samples</t>
  </si>
  <si>
    <t>Volume</t>
  </si>
  <si>
    <t>Open Bowl 0mmHg</t>
  </si>
  <si>
    <t>HV7 0 mmHg</t>
  </si>
  <si>
    <t>HV7 250 mmHg</t>
  </si>
  <si>
    <t>HV7 550 mmHg</t>
  </si>
  <si>
    <t>HV7 650 mmHg</t>
  </si>
  <si>
    <t>Dental Mix 0mmHg</t>
  </si>
  <si>
    <t>Vac Bowl 0 mmHg</t>
  </si>
  <si>
    <t>Vac Bowl 250 mmHg</t>
  </si>
  <si>
    <t>Vac Bowl 550 mmHg</t>
  </si>
  <si>
    <t>Vac Bowl 650 mmHg</t>
  </si>
  <si>
    <t>Mass</t>
  </si>
  <si>
    <t>Average Accross All 5</t>
  </si>
  <si>
    <t>2% Offset (N)</t>
  </si>
  <si>
    <t>Compressive Strength (Mpa)</t>
  </si>
  <si>
    <t>Average Compression Strength</t>
  </si>
  <si>
    <t>Youngs Modulus Differntial Method</t>
  </si>
  <si>
    <t>Average</t>
  </si>
  <si>
    <t>R^2 Value</t>
  </si>
  <si>
    <t>Strain Start Point</t>
  </si>
  <si>
    <t>Strain End Point</t>
  </si>
  <si>
    <t>Strain Tested Along</t>
  </si>
  <si>
    <t>Pythag of Line</t>
  </si>
  <si>
    <t>Data</t>
  </si>
  <si>
    <t>Image</t>
  </si>
  <si>
    <t>Porosity Percentage</t>
  </si>
  <si>
    <t>Average % Porosity</t>
  </si>
  <si>
    <t>Average % Fill</t>
  </si>
  <si>
    <t>3 macro pores</t>
  </si>
  <si>
    <t>2 Macro Pores</t>
  </si>
  <si>
    <t>3 Macro Pores</t>
  </si>
  <si>
    <t>1 Macro Pore</t>
  </si>
  <si>
    <t>vaccum vs pore type</t>
  </si>
  <si>
    <t>for a given vaccum mixer vs pore type</t>
  </si>
  <si>
    <t>2 Macro Pore</t>
  </si>
  <si>
    <t>0 Macro Pores</t>
  </si>
  <si>
    <t>2 Macro Pores (could be 3, need to check the final image)</t>
  </si>
  <si>
    <t>Interesting Line of Porosity in this scan image</t>
  </si>
  <si>
    <t>% porosity</t>
  </si>
  <si>
    <t>The example above shows sample 4 from vac bowl 650 mmHg being re-analsysed as there is a large external pore as pictured in cell I46, in the original analysis (data in cells B46-F46) of this sample the external pore was included, the analisys above ignores that external pore to give a more accurate example of INTERNAL porosity percentage</t>
  </si>
  <si>
    <t>Average Compressive Strength</t>
  </si>
  <si>
    <t>Test Speed</t>
  </si>
  <si>
    <t>Tested</t>
  </si>
  <si>
    <t>Fractured</t>
  </si>
  <si>
    <t>Raw Data Saved</t>
  </si>
  <si>
    <t>Comments (Voids?)</t>
  </si>
  <si>
    <t>20mm/s</t>
  </si>
  <si>
    <t>big void external vois on side, smaple compressed into void</t>
  </si>
  <si>
    <t>Tiny void on side, weight I svery low</t>
  </si>
  <si>
    <t>compressed in the lower area rather than the exact middle, is there a void there</t>
  </si>
  <si>
    <t>cracked a lot see picture</t>
  </si>
  <si>
    <t>Low force comparatively</t>
  </si>
  <si>
    <t>small voids close to edge of sample, not external</t>
  </si>
  <si>
    <t>small crease in sample</t>
  </si>
  <si>
    <t>small external void, lost sample</t>
  </si>
  <si>
    <t>small void on side</t>
  </si>
  <si>
    <t xml:space="preserve">large internal void that you can almost see, early crack almost </t>
  </si>
  <si>
    <t>small crease on side</t>
  </si>
  <si>
    <t>strange start to loading, slight jolt</t>
  </si>
  <si>
    <t>small void on side, crack starts there</t>
  </si>
  <si>
    <t>Percentage Volume Fill</t>
  </si>
  <si>
    <t>Percentage Volume Void</t>
  </si>
  <si>
    <t>Average Void Across All 5 Samples</t>
  </si>
  <si>
    <t>All volume calculations are based
on the MAX VOLUME of all the samples, 
therefore every percentage is a compared
0.352118644</t>
  </si>
  <si>
    <t>MAX VOLUME OF ALL SAMPLES:</t>
  </si>
  <si>
    <t>Youngs Modulus (Differential Method)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</si>
</sst>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_-* #,##0.0000_-;\-* #,##0.0000_-;_-* &quot;-&quot;??_-;_-@_-"/>
    <numFmt numFmtId="166" formatCode="_-* #,##0.00000_-;\-* #,##0.00000_-;_-* &quot;-&quot;??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0" xfId="0" applyFill="1"/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15" xfId="0" applyBorder="1"/>
    <xf numFmtId="0" fontId="0" fillId="7" borderId="17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10" fontId="0" fillId="0" borderId="0" xfId="0" applyNumberFormat="1"/>
    <xf numFmtId="0" fontId="4" fillId="7" borderId="5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0" xfId="0" applyAlignment="1">
      <alignment vertical="center"/>
    </xf>
    <xf numFmtId="0" fontId="1" fillId="10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164" fontId="5" fillId="5" borderId="1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1" fillId="13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10" fontId="5" fillId="0" borderId="0" xfId="0" applyNumberFormat="1" applyFont="1"/>
    <xf numFmtId="0" fontId="5" fillId="0" borderId="0" xfId="0" applyFont="1"/>
    <xf numFmtId="164" fontId="0" fillId="0" borderId="0" xfId="1" applyNumberFormat="1" applyFont="1"/>
    <xf numFmtId="0" fontId="1" fillId="0" borderId="0" xfId="0" applyFont="1"/>
    <xf numFmtId="0" fontId="1" fillId="4" borderId="2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0" fillId="6" borderId="3" xfId="0" applyFill="1" applyBorder="1" applyAlignment="1">
      <alignment horizontal="center"/>
    </xf>
    <xf numFmtId="0" fontId="0" fillId="6" borderId="0" xfId="0" applyFill="1"/>
    <xf numFmtId="0" fontId="0" fillId="6" borderId="2" xfId="0" applyFill="1" applyBorder="1" applyAlignment="1">
      <alignment horizontal="center"/>
    </xf>
    <xf numFmtId="0" fontId="1" fillId="11" borderId="8" xfId="0" applyFont="1" applyFill="1" applyBorder="1"/>
    <xf numFmtId="10" fontId="0" fillId="0" borderId="0" xfId="1" applyNumberFormat="1" applyFon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0" fillId="0" borderId="23" xfId="1" applyNumberFormat="1" applyFont="1" applyBorder="1" applyAlignment="1">
      <alignment horizontal="center"/>
    </xf>
    <xf numFmtId="0" fontId="1" fillId="14" borderId="2" xfId="0" applyFont="1" applyFill="1" applyBorder="1" applyAlignment="1">
      <alignment horizontal="center" vertical="center"/>
    </xf>
    <xf numFmtId="10" fontId="1" fillId="14" borderId="2" xfId="1" applyNumberFormat="1" applyFont="1" applyFill="1" applyBorder="1" applyAlignment="1">
      <alignment horizontal="center"/>
    </xf>
    <xf numFmtId="10" fontId="1" fillId="14" borderId="6" xfId="1" applyNumberFormat="1" applyFont="1" applyFill="1" applyBorder="1" applyAlignment="1">
      <alignment horizontal="center"/>
    </xf>
    <xf numFmtId="0" fontId="0" fillId="15" borderId="33" xfId="0" applyFill="1" applyBorder="1" applyAlignment="1">
      <alignment horizontal="center" vertical="center"/>
    </xf>
    <xf numFmtId="10" fontId="0" fillId="15" borderId="12" xfId="1" applyNumberFormat="1" applyFont="1" applyFill="1" applyBorder="1" applyAlignment="1">
      <alignment horizontal="center"/>
    </xf>
    <xf numFmtId="10" fontId="0" fillId="15" borderId="13" xfId="1" applyNumberFormat="1" applyFont="1" applyFill="1" applyBorder="1" applyAlignment="1">
      <alignment horizontal="center"/>
    </xf>
    <xf numFmtId="0" fontId="0" fillId="15" borderId="32" xfId="0" applyFill="1" applyBorder="1" applyAlignment="1">
      <alignment horizontal="center" vertical="center"/>
    </xf>
    <xf numFmtId="10" fontId="0" fillId="15" borderId="10" xfId="1" applyNumberFormat="1" applyFont="1" applyFill="1" applyBorder="1" applyAlignment="1">
      <alignment horizontal="center"/>
    </xf>
    <xf numFmtId="10" fontId="0" fillId="15" borderId="7" xfId="1" applyNumberFormat="1" applyFont="1" applyFill="1" applyBorder="1" applyAlignment="1">
      <alignment horizontal="center"/>
    </xf>
    <xf numFmtId="10" fontId="0" fillId="15" borderId="1" xfId="1" applyNumberFormat="1" applyFont="1" applyFill="1" applyBorder="1" applyAlignment="1">
      <alignment horizontal="center"/>
    </xf>
    <xf numFmtId="0" fontId="0" fillId="15" borderId="34" xfId="0" applyFill="1" applyBorder="1" applyAlignment="1">
      <alignment horizontal="center" vertical="center"/>
    </xf>
    <xf numFmtId="10" fontId="0" fillId="15" borderId="19" xfId="1" applyNumberFormat="1" applyFont="1" applyFill="1" applyBorder="1" applyAlignment="1">
      <alignment horizontal="center"/>
    </xf>
    <xf numFmtId="10" fontId="0" fillId="15" borderId="31" xfId="1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0" fillId="16" borderId="0" xfId="0" applyFill="1"/>
    <xf numFmtId="10" fontId="1" fillId="16" borderId="0" xfId="1" applyNumberFormat="1" applyFont="1" applyFill="1" applyAlignment="1">
      <alignment horizontal="center"/>
    </xf>
    <xf numFmtId="10" fontId="0" fillId="0" borderId="0" xfId="1" applyNumberFormat="1" applyFont="1" applyBorder="1" applyAlignment="1">
      <alignment wrapText="1"/>
    </xf>
    <xf numFmtId="164" fontId="1" fillId="11" borderId="9" xfId="1" applyNumberFormat="1" applyFont="1" applyFill="1" applyBorder="1"/>
    <xf numFmtId="0" fontId="1" fillId="12" borderId="36" xfId="0" applyFont="1" applyFill="1" applyBorder="1" applyAlignment="1">
      <alignment horizontal="center" vertical="center"/>
    </xf>
    <xf numFmtId="0" fontId="1" fillId="12" borderId="36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1" fillId="10" borderId="36" xfId="0" applyFont="1" applyFill="1" applyBorder="1" applyAlignment="1">
      <alignment horizontal="center"/>
    </xf>
    <xf numFmtId="0" fontId="1" fillId="10" borderId="36" xfId="0" applyFont="1" applyFill="1" applyBorder="1"/>
    <xf numFmtId="0" fontId="1" fillId="5" borderId="6" xfId="0" applyFont="1" applyFill="1" applyBorder="1" applyAlignment="1">
      <alignment horizontal="center" vertical="center"/>
    </xf>
    <xf numFmtId="0" fontId="0" fillId="8" borderId="39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0" fontId="0" fillId="16" borderId="0" xfId="1" applyNumberFormat="1" applyFont="1" applyFill="1" applyBorder="1" applyAlignment="1">
      <alignment horizontal="center" wrapText="1"/>
    </xf>
    <xf numFmtId="10" fontId="5" fillId="15" borderId="3" xfId="1" applyNumberFormat="1" applyFont="1" applyFill="1" applyBorder="1" applyAlignment="1">
      <alignment horizontal="center" vertical="center"/>
    </xf>
    <xf numFmtId="10" fontId="5" fillId="15" borderId="1" xfId="1" applyNumberFormat="1" applyFont="1" applyFill="1" applyBorder="1" applyAlignment="1">
      <alignment horizontal="center" vertical="center"/>
    </xf>
    <xf numFmtId="10" fontId="5" fillId="15" borderId="6" xfId="1" applyNumberFormat="1" applyFont="1" applyFill="1" applyBorder="1" applyAlignment="1">
      <alignment horizontal="center" vertical="center"/>
    </xf>
    <xf numFmtId="10" fontId="5" fillId="15" borderId="24" xfId="1" applyNumberFormat="1" applyFont="1" applyFill="1" applyBorder="1" applyAlignment="1">
      <alignment horizontal="center" vertical="center"/>
    </xf>
    <xf numFmtId="10" fontId="5" fillId="15" borderId="25" xfId="1" applyNumberFormat="1" applyFont="1" applyFill="1" applyBorder="1" applyAlignment="1">
      <alignment horizontal="center" vertical="center"/>
    </xf>
    <xf numFmtId="10" fontId="5" fillId="15" borderId="26" xfId="1" applyNumberFormat="1" applyFont="1" applyFill="1" applyBorder="1" applyAlignment="1">
      <alignment horizontal="center" vertical="center"/>
    </xf>
    <xf numFmtId="10" fontId="5" fillId="15" borderId="27" xfId="1" applyNumberFormat="1" applyFont="1" applyFill="1" applyBorder="1" applyAlignment="1">
      <alignment horizontal="center" vertical="center"/>
    </xf>
    <xf numFmtId="10" fontId="5" fillId="15" borderId="35" xfId="1" applyNumberFormat="1" applyFont="1" applyFill="1" applyBorder="1" applyAlignment="1">
      <alignment horizontal="center" vertical="center"/>
    </xf>
    <xf numFmtId="10" fontId="5" fillId="15" borderId="28" xfId="1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textRotation="45"/>
    </xf>
    <xf numFmtId="0" fontId="1" fillId="8" borderId="1" xfId="0" applyFont="1" applyFill="1" applyBorder="1" applyAlignment="1">
      <alignment horizontal="center" vertical="center" textRotation="45"/>
    </xf>
    <xf numFmtId="0" fontId="1" fillId="8" borderId="2" xfId="0" applyFont="1" applyFill="1" applyBorder="1" applyAlignment="1">
      <alignment horizontal="center" vertical="center" textRotation="45"/>
    </xf>
    <xf numFmtId="0" fontId="1" fillId="8" borderId="3" xfId="0" applyFont="1" applyFill="1" applyBorder="1" applyAlignment="1">
      <alignment horizontal="center" vertical="center" textRotation="45"/>
    </xf>
    <xf numFmtId="0" fontId="1" fillId="6" borderId="4" xfId="0" applyFont="1" applyFill="1" applyBorder="1" applyAlignment="1">
      <alignment horizontal="center" vertical="center" textRotation="45"/>
    </xf>
    <xf numFmtId="0" fontId="1" fillId="6" borderId="1" xfId="0" applyFont="1" applyFill="1" applyBorder="1" applyAlignment="1">
      <alignment horizontal="center" vertical="center" textRotation="45"/>
    </xf>
    <xf numFmtId="0" fontId="1" fillId="6" borderId="2" xfId="0" applyFont="1" applyFill="1" applyBorder="1" applyAlignment="1">
      <alignment horizontal="center" vertical="center" textRotation="45"/>
    </xf>
    <xf numFmtId="0" fontId="5" fillId="15" borderId="29" xfId="0" applyFont="1" applyFill="1" applyBorder="1" applyAlignment="1">
      <alignment horizontal="center" vertical="center"/>
    </xf>
    <xf numFmtId="0" fontId="5" fillId="15" borderId="25" xfId="0" applyFont="1" applyFill="1" applyBorder="1" applyAlignment="1">
      <alignment horizontal="center" vertical="center"/>
    </xf>
    <xf numFmtId="0" fontId="5" fillId="15" borderId="26" xfId="0" applyFont="1" applyFill="1" applyBorder="1" applyAlignment="1">
      <alignment horizontal="center" vertical="center"/>
    </xf>
    <xf numFmtId="0" fontId="5" fillId="15" borderId="24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15" borderId="3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textRotation="45"/>
    </xf>
    <xf numFmtId="0" fontId="1" fillId="3" borderId="1" xfId="0" applyFont="1" applyFill="1" applyBorder="1" applyAlignment="1">
      <alignment horizontal="center" vertical="center" textRotation="45"/>
    </xf>
    <xf numFmtId="0" fontId="1" fillId="3" borderId="36" xfId="0" applyFont="1" applyFill="1" applyBorder="1" applyAlignment="1">
      <alignment horizontal="center" vertical="center" textRotation="45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45"/>
    </xf>
    <xf numFmtId="0" fontId="1" fillId="3" borderId="2" xfId="0" applyFont="1" applyFill="1" applyBorder="1" applyAlignment="1">
      <alignment horizontal="center" vertical="center" textRotation="45"/>
    </xf>
    <xf numFmtId="166" fontId="9" fillId="0" borderId="0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9" fillId="0" borderId="0" xfId="2" applyFont="1" applyFill="1" applyBorder="1" applyAlignment="1">
      <alignment horizontal="center" vertical="center"/>
    </xf>
    <xf numFmtId="164" fontId="9" fillId="9" borderId="9" xfId="1" applyNumberFormat="1" applyFont="1" applyFill="1" applyBorder="1" applyAlignment="1">
      <alignment horizontal="center" vertical="center"/>
    </xf>
    <xf numFmtId="164" fontId="9" fillId="9" borderId="20" xfId="1" applyNumberFormat="1" applyFont="1" applyFill="1" applyBorder="1" applyAlignment="1">
      <alignment horizontal="center" vertical="center"/>
    </xf>
    <xf numFmtId="165" fontId="9" fillId="0" borderId="0" xfId="2" applyNumberFormat="1" applyFont="1" applyFill="1" applyBorder="1" applyAlignment="1">
      <alignment horizontal="center" vertical="center"/>
    </xf>
    <xf numFmtId="164" fontId="9" fillId="9" borderId="14" xfId="0" applyNumberFormat="1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2" xfId="0" applyFont="1" applyBorder="1" applyAlignment="1">
      <alignment horizontal="center" vertical="center" textRotation="45"/>
    </xf>
    <xf numFmtId="0" fontId="1" fillId="0" borderId="3" xfId="0" applyFont="1" applyBorder="1" applyAlignment="1">
      <alignment horizontal="center" vertical="center" textRotation="45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checked="Checked" fmlaLink="$H$4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fmlaLink="H7" lockText="1" noThreeD="1"/>
</file>

<file path=xl/ctrlProps/ctrlProp103.xml><?xml version="1.0" encoding="utf-8"?>
<formControlPr xmlns="http://schemas.microsoft.com/office/spreadsheetml/2009/9/main" objectType="CheckBox" checked="Checked" fmlaLink="H8" lockText="1" noThreeD="1"/>
</file>

<file path=xl/ctrlProps/ctrlProp104.xml><?xml version="1.0" encoding="utf-8"?>
<formControlPr xmlns="http://schemas.microsoft.com/office/spreadsheetml/2009/9/main" objectType="CheckBox" checked="Checked" fmlaLink="$H$9" lockText="1" noThreeD="1"/>
</file>

<file path=xl/ctrlProps/ctrlProp105.xml><?xml version="1.0" encoding="utf-8"?>
<formControlPr xmlns="http://schemas.microsoft.com/office/spreadsheetml/2009/9/main" objectType="CheckBox" checked="Checked" fmlaLink="$H$10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fmlaLink="H5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fmlaLink="H6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76" Type="http://schemas.openxmlformats.org/officeDocument/2006/relationships/image" Target="../media/image77.png"/><Relationship Id="rId84" Type="http://schemas.openxmlformats.org/officeDocument/2006/relationships/image" Target="../media/image85.png"/><Relationship Id="rId89" Type="http://schemas.openxmlformats.org/officeDocument/2006/relationships/image" Target="../media/image90.png"/><Relationship Id="rId7" Type="http://schemas.openxmlformats.org/officeDocument/2006/relationships/image" Target="../media/image8.png"/><Relationship Id="rId71" Type="http://schemas.openxmlformats.org/officeDocument/2006/relationships/image" Target="../media/image72.png"/><Relationship Id="rId92" Type="http://schemas.openxmlformats.org/officeDocument/2006/relationships/image" Target="../media/image93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png"/><Relationship Id="rId74" Type="http://schemas.openxmlformats.org/officeDocument/2006/relationships/image" Target="../media/image75.png"/><Relationship Id="rId79" Type="http://schemas.openxmlformats.org/officeDocument/2006/relationships/image" Target="../media/image80.png"/><Relationship Id="rId87" Type="http://schemas.openxmlformats.org/officeDocument/2006/relationships/image" Target="../media/image88.png"/><Relationship Id="rId5" Type="http://schemas.openxmlformats.org/officeDocument/2006/relationships/image" Target="../media/image6.png"/><Relationship Id="rId61" Type="http://schemas.openxmlformats.org/officeDocument/2006/relationships/image" Target="../media/image62.png"/><Relationship Id="rId82" Type="http://schemas.openxmlformats.org/officeDocument/2006/relationships/image" Target="../media/image83.png"/><Relationship Id="rId90" Type="http://schemas.openxmlformats.org/officeDocument/2006/relationships/image" Target="../media/image91.pn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77" Type="http://schemas.openxmlformats.org/officeDocument/2006/relationships/image" Target="../media/image78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72" Type="http://schemas.openxmlformats.org/officeDocument/2006/relationships/image" Target="../media/image73.png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91" Type="http://schemas.openxmlformats.org/officeDocument/2006/relationships/image" Target="../media/image92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73" Type="http://schemas.openxmlformats.org/officeDocument/2006/relationships/image" Target="../media/image74.png"/><Relationship Id="rId78" Type="http://schemas.openxmlformats.org/officeDocument/2006/relationships/image" Target="../media/image79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16</xdr:row>
      <xdr:rowOff>142876</xdr:rowOff>
    </xdr:from>
    <xdr:to>
      <xdr:col>3</xdr:col>
      <xdr:colOff>4871644</xdr:colOff>
      <xdr:row>16</xdr:row>
      <xdr:rowOff>828676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6953251"/>
          <a:ext cx="4671619" cy="6858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16</xdr:row>
      <xdr:rowOff>19050</xdr:rowOff>
    </xdr:from>
    <xdr:to>
      <xdr:col>4</xdr:col>
      <xdr:colOff>590550</xdr:colOff>
      <xdr:row>16</xdr:row>
      <xdr:rowOff>882922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5450" y="13077825"/>
          <a:ext cx="565150" cy="863872"/>
        </a:xfrm>
        <a:prstGeom prst="rect">
          <a:avLst/>
        </a:prstGeom>
      </xdr:spPr>
    </xdr:pic>
    <xdr:clientData/>
  </xdr:twoCellAnchor>
  <xdr:twoCellAnchor>
    <xdr:from>
      <xdr:col>4</xdr:col>
      <xdr:colOff>85725</xdr:colOff>
      <xdr:row>12</xdr:row>
      <xdr:rowOff>23329</xdr:rowOff>
    </xdr:from>
    <xdr:to>
      <xdr:col>4</xdr:col>
      <xdr:colOff>505204</xdr:colOff>
      <xdr:row>13</xdr:row>
      <xdr:rowOff>789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81925" y="9243529"/>
          <a:ext cx="419479" cy="872810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12</xdr:row>
      <xdr:rowOff>79354</xdr:rowOff>
    </xdr:from>
    <xdr:to>
      <xdr:col>3</xdr:col>
      <xdr:colOff>4972050</xdr:colOff>
      <xdr:row>12</xdr:row>
      <xdr:rowOff>836748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28900" y="9299554"/>
          <a:ext cx="4724400" cy="757394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158750</xdr:colOff>
      <xdr:row>13</xdr:row>
      <xdr:rowOff>95250</xdr:rowOff>
    </xdr:from>
    <xdr:to>
      <xdr:col>4</xdr:col>
      <xdr:colOff>0</xdr:colOff>
      <xdr:row>13</xdr:row>
      <xdr:rowOff>903051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6200" y="10229850"/>
          <a:ext cx="5175250" cy="810976"/>
        </a:xfrm>
        <a:prstGeom prst="rect">
          <a:avLst/>
        </a:prstGeom>
      </xdr:spPr>
    </xdr:pic>
    <xdr:clientData/>
  </xdr:twoCellAnchor>
  <xdr:twoCellAnchor editAs="oneCell">
    <xdr:from>
      <xdr:col>4</xdr:col>
      <xdr:colOff>73991</xdr:colOff>
      <xdr:row>13</xdr:row>
      <xdr:rowOff>133350</xdr:rowOff>
    </xdr:from>
    <xdr:to>
      <xdr:col>4</xdr:col>
      <xdr:colOff>573441</xdr:colOff>
      <xdr:row>13</xdr:row>
      <xdr:rowOff>772558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94041" y="10267950"/>
          <a:ext cx="499450" cy="639208"/>
        </a:xfrm>
        <a:prstGeom prst="rect">
          <a:avLst/>
        </a:prstGeom>
      </xdr:spPr>
    </xdr:pic>
    <xdr:clientData/>
  </xdr:twoCellAnchor>
  <xdr:twoCellAnchor>
    <xdr:from>
      <xdr:col>3</xdr:col>
      <xdr:colOff>209551</xdr:colOff>
      <xdr:row>14</xdr:row>
      <xdr:rowOff>66675</xdr:rowOff>
    </xdr:from>
    <xdr:to>
      <xdr:col>3</xdr:col>
      <xdr:colOff>5048251</xdr:colOff>
      <xdr:row>14</xdr:row>
      <xdr:rowOff>832374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90801" y="4895850"/>
          <a:ext cx="4838700" cy="765699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14</xdr:row>
      <xdr:rowOff>66676</xdr:rowOff>
    </xdr:from>
    <xdr:to>
      <xdr:col>4</xdr:col>
      <xdr:colOff>449916</xdr:colOff>
      <xdr:row>14</xdr:row>
      <xdr:rowOff>752476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62875" y="4895851"/>
          <a:ext cx="383241" cy="685800"/>
        </a:xfrm>
        <a:prstGeom prst="rect">
          <a:avLst/>
        </a:prstGeom>
      </xdr:spPr>
    </xdr:pic>
    <xdr:clientData/>
  </xdr:twoCellAnchor>
  <xdr:twoCellAnchor>
    <xdr:from>
      <xdr:col>3</xdr:col>
      <xdr:colOff>180975</xdr:colOff>
      <xdr:row>15</xdr:row>
      <xdr:rowOff>104775</xdr:rowOff>
    </xdr:from>
    <xdr:to>
      <xdr:col>3</xdr:col>
      <xdr:colOff>5295667</xdr:colOff>
      <xdr:row>15</xdr:row>
      <xdr:rowOff>933450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62225" y="5848350"/>
          <a:ext cx="5114692" cy="82867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15</xdr:row>
      <xdr:rowOff>120650</xdr:rowOff>
    </xdr:from>
    <xdr:to>
      <xdr:col>4</xdr:col>
      <xdr:colOff>561975</xdr:colOff>
      <xdr:row>15</xdr:row>
      <xdr:rowOff>761047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058150" y="12112625"/>
          <a:ext cx="523875" cy="640397"/>
        </a:xfrm>
        <a:prstGeom prst="rect">
          <a:avLst/>
        </a:prstGeom>
      </xdr:spPr>
    </xdr:pic>
    <xdr:clientData/>
  </xdr:twoCellAnchor>
  <xdr:twoCellAnchor>
    <xdr:from>
      <xdr:col>4</xdr:col>
      <xdr:colOff>1</xdr:colOff>
      <xdr:row>17</xdr:row>
      <xdr:rowOff>0</xdr:rowOff>
    </xdr:from>
    <xdr:to>
      <xdr:col>4</xdr:col>
      <xdr:colOff>555227</xdr:colOff>
      <xdr:row>17</xdr:row>
      <xdr:rowOff>714375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96201" y="7705725"/>
          <a:ext cx="555226" cy="714375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17</xdr:row>
      <xdr:rowOff>38100</xdr:rowOff>
    </xdr:from>
    <xdr:to>
      <xdr:col>3</xdr:col>
      <xdr:colOff>5067300</xdr:colOff>
      <xdr:row>17</xdr:row>
      <xdr:rowOff>762095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09850" y="7743825"/>
          <a:ext cx="4838700" cy="723995"/>
        </a:xfrm>
        <a:prstGeom prst="rect">
          <a:avLst/>
        </a:prstGeom>
      </xdr:spPr>
    </xdr:pic>
    <xdr:clientData/>
  </xdr:twoCellAnchor>
  <xdr:twoCellAnchor>
    <xdr:from>
      <xdr:col>3</xdr:col>
      <xdr:colOff>200025</xdr:colOff>
      <xdr:row>18</xdr:row>
      <xdr:rowOff>47625</xdr:rowOff>
    </xdr:from>
    <xdr:to>
      <xdr:col>3</xdr:col>
      <xdr:colOff>5086350</xdr:colOff>
      <xdr:row>18</xdr:row>
      <xdr:rowOff>777558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81275" y="8582025"/>
          <a:ext cx="4886325" cy="729933"/>
        </a:xfrm>
        <a:prstGeom prst="rect">
          <a:avLst/>
        </a:prstGeom>
      </xdr:spPr>
    </xdr:pic>
    <xdr:clientData/>
  </xdr:twoCellAnchor>
  <xdr:twoCellAnchor>
    <xdr:from>
      <xdr:col>4</xdr:col>
      <xdr:colOff>58584</xdr:colOff>
      <xdr:row>18</xdr:row>
      <xdr:rowOff>85724</xdr:rowOff>
    </xdr:from>
    <xdr:to>
      <xdr:col>4</xdr:col>
      <xdr:colOff>542232</xdr:colOff>
      <xdr:row>18</xdr:row>
      <xdr:rowOff>733425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54784" y="8620124"/>
          <a:ext cx="483648" cy="647701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</xdr:row>
      <xdr:rowOff>38100</xdr:rowOff>
    </xdr:from>
    <xdr:to>
      <xdr:col>4</xdr:col>
      <xdr:colOff>599119</xdr:colOff>
      <xdr:row>19</xdr:row>
      <xdr:rowOff>768350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93075" y="9391650"/>
          <a:ext cx="535619" cy="730250"/>
        </a:xfrm>
        <a:prstGeom prst="rect">
          <a:avLst/>
        </a:prstGeom>
      </xdr:spPr>
    </xdr:pic>
    <xdr:clientData/>
  </xdr:twoCellAnchor>
  <xdr:twoCellAnchor>
    <xdr:from>
      <xdr:col>3</xdr:col>
      <xdr:colOff>238126</xdr:colOff>
      <xdr:row>20</xdr:row>
      <xdr:rowOff>57150</xdr:rowOff>
    </xdr:from>
    <xdr:to>
      <xdr:col>3</xdr:col>
      <xdr:colOff>5210176</xdr:colOff>
      <xdr:row>20</xdr:row>
      <xdr:rowOff>811444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19376" y="10248900"/>
          <a:ext cx="4972050" cy="754294"/>
        </a:xfrm>
        <a:prstGeom prst="rect">
          <a:avLst/>
        </a:prstGeom>
      </xdr:spPr>
    </xdr:pic>
    <xdr:clientData/>
  </xdr:twoCellAnchor>
  <xdr:twoCellAnchor>
    <xdr:from>
      <xdr:col>4</xdr:col>
      <xdr:colOff>75756</xdr:colOff>
      <xdr:row>20</xdr:row>
      <xdr:rowOff>66675</xdr:rowOff>
    </xdr:from>
    <xdr:to>
      <xdr:col>4</xdr:col>
      <xdr:colOff>523875</xdr:colOff>
      <xdr:row>20</xdr:row>
      <xdr:rowOff>766031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71956" y="10258425"/>
          <a:ext cx="448119" cy="699356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21</xdr:row>
      <xdr:rowOff>47625</xdr:rowOff>
    </xdr:from>
    <xdr:to>
      <xdr:col>4</xdr:col>
      <xdr:colOff>907</xdr:colOff>
      <xdr:row>22</xdr:row>
      <xdr:rowOff>1432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677432" y="17310554"/>
          <a:ext cx="5160282" cy="757081"/>
        </a:xfrm>
        <a:prstGeom prst="rect">
          <a:avLst/>
        </a:prstGeom>
      </xdr:spPr>
    </xdr:pic>
    <xdr:clientData/>
  </xdr:twoCellAnchor>
  <xdr:twoCellAnchor editAs="oneCell">
    <xdr:from>
      <xdr:col>4</xdr:col>
      <xdr:colOff>58378</xdr:colOff>
      <xdr:row>21</xdr:row>
      <xdr:rowOff>76200</xdr:rowOff>
    </xdr:from>
    <xdr:to>
      <xdr:col>4</xdr:col>
      <xdr:colOff>564944</xdr:colOff>
      <xdr:row>21</xdr:row>
      <xdr:rowOff>742950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54578" y="11096625"/>
          <a:ext cx="509741" cy="666750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37</xdr:row>
      <xdr:rowOff>57150</xdr:rowOff>
    </xdr:from>
    <xdr:to>
      <xdr:col>3</xdr:col>
      <xdr:colOff>5086350</xdr:colOff>
      <xdr:row>37</xdr:row>
      <xdr:rowOff>779457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686050" y="15163800"/>
          <a:ext cx="4781550" cy="722307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37</xdr:row>
      <xdr:rowOff>44451</xdr:rowOff>
    </xdr:from>
    <xdr:to>
      <xdr:col>4</xdr:col>
      <xdr:colOff>572685</xdr:colOff>
      <xdr:row>37</xdr:row>
      <xdr:rowOff>750953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79317" y="33008007"/>
          <a:ext cx="515535" cy="706502"/>
        </a:xfrm>
        <a:prstGeom prst="rect">
          <a:avLst/>
        </a:prstGeom>
      </xdr:spPr>
    </xdr:pic>
    <xdr:clientData/>
  </xdr:twoCellAnchor>
  <xdr:twoCellAnchor>
    <xdr:from>
      <xdr:col>4</xdr:col>
      <xdr:colOff>57151</xdr:colOff>
      <xdr:row>38</xdr:row>
      <xdr:rowOff>38100</xdr:rowOff>
    </xdr:from>
    <xdr:to>
      <xdr:col>4</xdr:col>
      <xdr:colOff>511799</xdr:colOff>
      <xdr:row>38</xdr:row>
      <xdr:rowOff>800100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753351" y="33851850"/>
          <a:ext cx="454648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387351</xdr:colOff>
      <xdr:row>38</xdr:row>
      <xdr:rowOff>44451</xdr:rowOff>
    </xdr:from>
    <xdr:to>
      <xdr:col>4</xdr:col>
      <xdr:colOff>1</xdr:colOff>
      <xdr:row>38</xdr:row>
      <xdr:rowOff>803090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50244" y="33885415"/>
          <a:ext cx="5041900" cy="758639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39</xdr:row>
      <xdr:rowOff>19050</xdr:rowOff>
    </xdr:from>
    <xdr:to>
      <xdr:col>4</xdr:col>
      <xdr:colOff>590550</xdr:colOff>
      <xdr:row>39</xdr:row>
      <xdr:rowOff>808485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43825" y="34651950"/>
          <a:ext cx="542925" cy="786260"/>
        </a:xfrm>
        <a:prstGeom prst="rect">
          <a:avLst/>
        </a:prstGeom>
      </xdr:spPr>
    </xdr:pic>
    <xdr:clientData/>
  </xdr:twoCellAnchor>
  <xdr:twoCellAnchor editAs="oneCell">
    <xdr:from>
      <xdr:col>3</xdr:col>
      <xdr:colOff>368301</xdr:colOff>
      <xdr:row>39</xdr:row>
      <xdr:rowOff>63501</xdr:rowOff>
    </xdr:from>
    <xdr:to>
      <xdr:col>4</xdr:col>
      <xdr:colOff>454</xdr:colOff>
      <xdr:row>40</xdr:row>
      <xdr:rowOff>1574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831194" y="34720894"/>
          <a:ext cx="5115378" cy="754499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3</xdr:row>
      <xdr:rowOff>66676</xdr:rowOff>
    </xdr:from>
    <xdr:to>
      <xdr:col>4</xdr:col>
      <xdr:colOff>530225</xdr:colOff>
      <xdr:row>3</xdr:row>
      <xdr:rowOff>791064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086725" y="1247776"/>
          <a:ext cx="463550" cy="724388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3</xdr:row>
      <xdr:rowOff>57151</xdr:rowOff>
    </xdr:from>
    <xdr:to>
      <xdr:col>3</xdr:col>
      <xdr:colOff>4895850</xdr:colOff>
      <xdr:row>3</xdr:row>
      <xdr:rowOff>812304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47950" y="552451"/>
          <a:ext cx="4629150" cy="755153"/>
        </a:xfrm>
        <a:prstGeom prst="rect">
          <a:avLst/>
        </a:prstGeom>
      </xdr:spPr>
    </xdr:pic>
    <xdr:clientData/>
  </xdr:twoCellAnchor>
  <xdr:twoCellAnchor>
    <xdr:from>
      <xdr:col>4</xdr:col>
      <xdr:colOff>38101</xdr:colOff>
      <xdr:row>2</xdr:row>
      <xdr:rowOff>25400</xdr:rowOff>
    </xdr:from>
    <xdr:to>
      <xdr:col>4</xdr:col>
      <xdr:colOff>577962</xdr:colOff>
      <xdr:row>2</xdr:row>
      <xdr:rowOff>781050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058151" y="396875"/>
          <a:ext cx="539861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2</xdr:row>
      <xdr:rowOff>38101</xdr:rowOff>
    </xdr:from>
    <xdr:to>
      <xdr:col>4</xdr:col>
      <xdr:colOff>1588</xdr:colOff>
      <xdr:row>2</xdr:row>
      <xdr:rowOff>771445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705100" y="409576"/>
          <a:ext cx="5291138" cy="736519"/>
        </a:xfrm>
        <a:prstGeom prst="rect">
          <a:avLst/>
        </a:prstGeom>
      </xdr:spPr>
    </xdr:pic>
    <xdr:clientData/>
  </xdr:twoCellAnchor>
  <xdr:twoCellAnchor editAs="oneCell">
    <xdr:from>
      <xdr:col>4</xdr:col>
      <xdr:colOff>44451</xdr:colOff>
      <xdr:row>4</xdr:row>
      <xdr:rowOff>6350</xdr:rowOff>
    </xdr:from>
    <xdr:to>
      <xdr:col>4</xdr:col>
      <xdr:colOff>563682</xdr:colOff>
      <xdr:row>4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064501" y="2006600"/>
          <a:ext cx="516056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349250</xdr:colOff>
      <xdr:row>4</xdr:row>
      <xdr:rowOff>63500</xdr:rowOff>
    </xdr:from>
    <xdr:to>
      <xdr:col>4</xdr:col>
      <xdr:colOff>0</xdr:colOff>
      <xdr:row>4</xdr:row>
      <xdr:rowOff>749758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06700" y="2063750"/>
          <a:ext cx="5184775" cy="689433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5</xdr:row>
      <xdr:rowOff>25400</xdr:rowOff>
    </xdr:from>
    <xdr:to>
      <xdr:col>4</xdr:col>
      <xdr:colOff>482600</xdr:colOff>
      <xdr:row>5</xdr:row>
      <xdr:rowOff>751350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077200" y="2816225"/>
          <a:ext cx="425450" cy="72595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400051</xdr:colOff>
      <xdr:row>5</xdr:row>
      <xdr:rowOff>63501</xdr:rowOff>
    </xdr:from>
    <xdr:to>
      <xdr:col>4</xdr:col>
      <xdr:colOff>1588</xdr:colOff>
      <xdr:row>5</xdr:row>
      <xdr:rowOff>760330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857501" y="2854326"/>
          <a:ext cx="5119687" cy="696829"/>
        </a:xfrm>
        <a:prstGeom prst="rect">
          <a:avLst/>
        </a:prstGeom>
      </xdr:spPr>
    </xdr:pic>
    <xdr:clientData/>
  </xdr:twoCellAnchor>
  <xdr:twoCellAnchor>
    <xdr:from>
      <xdr:col>4</xdr:col>
      <xdr:colOff>44450</xdr:colOff>
      <xdr:row>6</xdr:row>
      <xdr:rowOff>104427</xdr:rowOff>
    </xdr:from>
    <xdr:to>
      <xdr:col>4</xdr:col>
      <xdr:colOff>591208</xdr:colOff>
      <xdr:row>6</xdr:row>
      <xdr:rowOff>781865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064500" y="3704877"/>
          <a:ext cx="546758" cy="677438"/>
        </a:xfrm>
        <a:prstGeom prst="rect">
          <a:avLst/>
        </a:prstGeom>
      </xdr:spPr>
    </xdr:pic>
    <xdr:clientData/>
  </xdr:twoCellAnchor>
  <xdr:twoCellAnchor>
    <xdr:from>
      <xdr:col>3</xdr:col>
      <xdr:colOff>447674</xdr:colOff>
      <xdr:row>6</xdr:row>
      <xdr:rowOff>28575</xdr:rowOff>
    </xdr:from>
    <xdr:to>
      <xdr:col>3</xdr:col>
      <xdr:colOff>4933949</xdr:colOff>
      <xdr:row>6</xdr:row>
      <xdr:rowOff>728480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828924" y="3609975"/>
          <a:ext cx="4486275" cy="69990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7</xdr:row>
      <xdr:rowOff>76201</xdr:rowOff>
    </xdr:from>
    <xdr:to>
      <xdr:col>4</xdr:col>
      <xdr:colOff>533400</xdr:colOff>
      <xdr:row>7</xdr:row>
      <xdr:rowOff>801187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064500" y="4483101"/>
          <a:ext cx="495300" cy="724986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139701</xdr:colOff>
      <xdr:row>7</xdr:row>
      <xdr:rowOff>76201</xdr:rowOff>
    </xdr:from>
    <xdr:to>
      <xdr:col>4</xdr:col>
      <xdr:colOff>0</xdr:colOff>
      <xdr:row>7</xdr:row>
      <xdr:rowOff>846003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597151" y="4486276"/>
          <a:ext cx="5365749" cy="77297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8</xdr:row>
      <xdr:rowOff>38101</xdr:rowOff>
    </xdr:from>
    <xdr:to>
      <xdr:col>4</xdr:col>
      <xdr:colOff>571501</xdr:colOff>
      <xdr:row>8</xdr:row>
      <xdr:rowOff>896779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064501" y="5422901"/>
          <a:ext cx="533400" cy="858678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177801</xdr:colOff>
      <xdr:row>8</xdr:row>
      <xdr:rowOff>76200</xdr:rowOff>
    </xdr:from>
    <xdr:to>
      <xdr:col>4</xdr:col>
      <xdr:colOff>0</xdr:colOff>
      <xdr:row>8</xdr:row>
      <xdr:rowOff>848433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35251" y="5467350"/>
          <a:ext cx="5346699" cy="769058"/>
        </a:xfrm>
        <a:prstGeom prst="rect">
          <a:avLst/>
        </a:prstGeom>
      </xdr:spPr>
    </xdr:pic>
    <xdr:clientData/>
  </xdr:twoCellAnchor>
  <xdr:twoCellAnchor>
    <xdr:from>
      <xdr:col>4</xdr:col>
      <xdr:colOff>57151</xdr:colOff>
      <xdr:row>9</xdr:row>
      <xdr:rowOff>9525</xdr:rowOff>
    </xdr:from>
    <xdr:to>
      <xdr:col>4</xdr:col>
      <xdr:colOff>571501</xdr:colOff>
      <xdr:row>9</xdr:row>
      <xdr:rowOff>885345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083551" y="6346825"/>
          <a:ext cx="514350" cy="875820"/>
        </a:xfrm>
        <a:prstGeom prst="rect">
          <a:avLst/>
        </a:prstGeom>
      </xdr:spPr>
    </xdr:pic>
    <xdr:clientData/>
  </xdr:twoCellAnchor>
  <xdr:twoCellAnchor editAs="oneCell">
    <xdr:from>
      <xdr:col>3</xdr:col>
      <xdr:colOff>196850</xdr:colOff>
      <xdr:row>9</xdr:row>
      <xdr:rowOff>82550</xdr:rowOff>
    </xdr:from>
    <xdr:to>
      <xdr:col>4</xdr:col>
      <xdr:colOff>1588</xdr:colOff>
      <xdr:row>9</xdr:row>
      <xdr:rowOff>857250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54300" y="6426200"/>
          <a:ext cx="5256213" cy="7747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10</xdr:row>
      <xdr:rowOff>57150</xdr:rowOff>
    </xdr:from>
    <xdr:to>
      <xdr:col>4</xdr:col>
      <xdr:colOff>475743</xdr:colOff>
      <xdr:row>10</xdr:row>
      <xdr:rowOff>806450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791451" y="7362825"/>
          <a:ext cx="380492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10</xdr:row>
      <xdr:rowOff>57150</xdr:rowOff>
    </xdr:from>
    <xdr:to>
      <xdr:col>4</xdr:col>
      <xdr:colOff>1</xdr:colOff>
      <xdr:row>10</xdr:row>
      <xdr:rowOff>827942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86051" y="7381875"/>
          <a:ext cx="5276850" cy="773967"/>
        </a:xfrm>
        <a:prstGeom prst="rect">
          <a:avLst/>
        </a:prstGeom>
      </xdr:spPr>
    </xdr:pic>
    <xdr:clientData/>
  </xdr:twoCellAnchor>
  <xdr:twoCellAnchor editAs="oneCell">
    <xdr:from>
      <xdr:col>4</xdr:col>
      <xdr:colOff>76201</xdr:colOff>
      <xdr:row>11</xdr:row>
      <xdr:rowOff>47626</xdr:rowOff>
    </xdr:from>
    <xdr:to>
      <xdr:col>4</xdr:col>
      <xdr:colOff>533401</xdr:colOff>
      <xdr:row>11</xdr:row>
      <xdr:rowOff>964947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102601" y="8245476"/>
          <a:ext cx="457200" cy="914146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292100</xdr:colOff>
      <xdr:row>11</xdr:row>
      <xdr:rowOff>120651</xdr:rowOff>
    </xdr:from>
    <xdr:to>
      <xdr:col>4</xdr:col>
      <xdr:colOff>1588</xdr:colOff>
      <xdr:row>11</xdr:row>
      <xdr:rowOff>873288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749550" y="8331201"/>
          <a:ext cx="5208588" cy="752637"/>
        </a:xfrm>
        <a:prstGeom prst="rect">
          <a:avLst/>
        </a:prstGeom>
      </xdr:spPr>
    </xdr:pic>
    <xdr:clientData/>
  </xdr:twoCellAnchor>
  <xdr:twoCellAnchor editAs="oneCell">
    <xdr:from>
      <xdr:col>3</xdr:col>
      <xdr:colOff>196850</xdr:colOff>
      <xdr:row>22</xdr:row>
      <xdr:rowOff>82550</xdr:rowOff>
    </xdr:from>
    <xdr:to>
      <xdr:col>4</xdr:col>
      <xdr:colOff>907</xdr:colOff>
      <xdr:row>22</xdr:row>
      <xdr:rowOff>846802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659743" y="18193657"/>
          <a:ext cx="5246007" cy="767427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22</xdr:row>
      <xdr:rowOff>38100</xdr:rowOff>
    </xdr:from>
    <xdr:to>
      <xdr:col>4</xdr:col>
      <xdr:colOff>539750</xdr:colOff>
      <xdr:row>22</xdr:row>
      <xdr:rowOff>961436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753350" y="18097500"/>
          <a:ext cx="485775" cy="926511"/>
        </a:xfrm>
        <a:prstGeom prst="rect">
          <a:avLst/>
        </a:prstGeom>
      </xdr:spPr>
    </xdr:pic>
    <xdr:clientData/>
  </xdr:twoCellAnchor>
  <xdr:twoCellAnchor editAs="oneCell">
    <xdr:from>
      <xdr:col>4</xdr:col>
      <xdr:colOff>76201</xdr:colOff>
      <xdr:row>23</xdr:row>
      <xdr:rowOff>0</xdr:rowOff>
    </xdr:from>
    <xdr:to>
      <xdr:col>4</xdr:col>
      <xdr:colOff>539750</xdr:colOff>
      <xdr:row>23</xdr:row>
      <xdr:rowOff>963819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772401" y="19069050"/>
          <a:ext cx="466724" cy="966994"/>
        </a:xfrm>
        <a:prstGeom prst="rect">
          <a:avLst/>
        </a:prstGeom>
      </xdr:spPr>
    </xdr:pic>
    <xdr:clientData/>
  </xdr:twoCellAnchor>
  <xdr:twoCellAnchor editAs="oneCell">
    <xdr:from>
      <xdr:col>3</xdr:col>
      <xdr:colOff>82551</xdr:colOff>
      <xdr:row>23</xdr:row>
      <xdr:rowOff>76200</xdr:rowOff>
    </xdr:from>
    <xdr:to>
      <xdr:col>4</xdr:col>
      <xdr:colOff>1362</xdr:colOff>
      <xdr:row>23</xdr:row>
      <xdr:rowOff>865714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545444" y="19194236"/>
          <a:ext cx="5414736" cy="792689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24</xdr:row>
      <xdr:rowOff>104776</xdr:rowOff>
    </xdr:from>
    <xdr:to>
      <xdr:col>4</xdr:col>
      <xdr:colOff>585047</xdr:colOff>
      <xdr:row>24</xdr:row>
      <xdr:rowOff>923926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753350" y="20183476"/>
          <a:ext cx="527897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24</xdr:row>
      <xdr:rowOff>123825</xdr:rowOff>
    </xdr:from>
    <xdr:to>
      <xdr:col>4</xdr:col>
      <xdr:colOff>0</xdr:colOff>
      <xdr:row>24</xdr:row>
      <xdr:rowOff>926190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586718" y="20248789"/>
          <a:ext cx="5400675" cy="799190"/>
        </a:xfrm>
        <a:prstGeom prst="rect">
          <a:avLst/>
        </a:prstGeom>
      </xdr:spPr>
    </xdr:pic>
    <xdr:clientData/>
  </xdr:twoCellAnchor>
  <xdr:twoCellAnchor editAs="oneCell">
    <xdr:from>
      <xdr:col>4</xdr:col>
      <xdr:colOff>61384</xdr:colOff>
      <xdr:row>25</xdr:row>
      <xdr:rowOff>158739</xdr:rowOff>
    </xdr:from>
    <xdr:to>
      <xdr:col>4</xdr:col>
      <xdr:colOff>591608</xdr:colOff>
      <xdr:row>25</xdr:row>
      <xdr:rowOff>970760</xdr:rowOff>
    </xdr:to>
    <xdr:pic>
      <xdr:nvPicPr>
        <xdr:cNvPr id="12" name="Pictur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67134" y="21198406"/>
          <a:ext cx="522604" cy="810116"/>
        </a:xfrm>
        <a:prstGeom prst="rect">
          <a:avLst/>
        </a:prstGeom>
      </xdr:spPr>
    </xdr:pic>
    <xdr:clientData/>
  </xdr:twoCellAnchor>
  <xdr:twoCellAnchor editAs="oneCell">
    <xdr:from>
      <xdr:col>3</xdr:col>
      <xdr:colOff>76201</xdr:colOff>
      <xdr:row>25</xdr:row>
      <xdr:rowOff>101601</xdr:rowOff>
    </xdr:from>
    <xdr:to>
      <xdr:col>4</xdr:col>
      <xdr:colOff>1</xdr:colOff>
      <xdr:row>25</xdr:row>
      <xdr:rowOff>866542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539094" y="21233494"/>
          <a:ext cx="5353050" cy="768116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26</xdr:row>
      <xdr:rowOff>66675</xdr:rowOff>
    </xdr:from>
    <xdr:to>
      <xdr:col>4</xdr:col>
      <xdr:colOff>590551</xdr:colOff>
      <xdr:row>26</xdr:row>
      <xdr:rowOff>933426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064501" y="22151975"/>
          <a:ext cx="552450" cy="86675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26</xdr:row>
      <xdr:rowOff>82550</xdr:rowOff>
    </xdr:from>
    <xdr:to>
      <xdr:col>4</xdr:col>
      <xdr:colOff>2721</xdr:colOff>
      <xdr:row>26</xdr:row>
      <xdr:rowOff>895772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481943" y="22221371"/>
          <a:ext cx="5451021" cy="813222"/>
        </a:xfrm>
        <a:prstGeom prst="rect">
          <a:avLst/>
        </a:prstGeom>
      </xdr:spPr>
    </xdr:pic>
    <xdr:clientData/>
  </xdr:twoCellAnchor>
  <xdr:twoCellAnchor>
    <xdr:from>
      <xdr:col>4</xdr:col>
      <xdr:colOff>47626</xdr:colOff>
      <xdr:row>27</xdr:row>
      <xdr:rowOff>47626</xdr:rowOff>
    </xdr:from>
    <xdr:to>
      <xdr:col>4</xdr:col>
      <xdr:colOff>581581</xdr:colOff>
      <xdr:row>27</xdr:row>
      <xdr:rowOff>962025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743826" y="23155276"/>
          <a:ext cx="533955" cy="914399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27</xdr:row>
      <xdr:rowOff>123826</xdr:rowOff>
    </xdr:from>
    <xdr:to>
      <xdr:col>3</xdr:col>
      <xdr:colOff>5162550</xdr:colOff>
      <xdr:row>27</xdr:row>
      <xdr:rowOff>886045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486025" y="23231476"/>
          <a:ext cx="5057775" cy="762219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28</xdr:row>
      <xdr:rowOff>66675</xdr:rowOff>
    </xdr:from>
    <xdr:to>
      <xdr:col>4</xdr:col>
      <xdr:colOff>581025</xdr:colOff>
      <xdr:row>28</xdr:row>
      <xdr:rowOff>931678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753350" y="24183975"/>
          <a:ext cx="523875" cy="865003"/>
        </a:xfrm>
        <a:prstGeom prst="rect">
          <a:avLst/>
        </a:prstGeom>
      </xdr:spPr>
    </xdr:pic>
    <xdr:clientData/>
  </xdr:twoCellAnchor>
  <xdr:twoCellAnchor editAs="oneCell">
    <xdr:from>
      <xdr:col>3</xdr:col>
      <xdr:colOff>82551</xdr:colOff>
      <xdr:row>28</xdr:row>
      <xdr:rowOff>82550</xdr:rowOff>
    </xdr:from>
    <xdr:to>
      <xdr:col>4</xdr:col>
      <xdr:colOff>0</xdr:colOff>
      <xdr:row>28</xdr:row>
      <xdr:rowOff>865096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545444" y="24235229"/>
          <a:ext cx="5346699" cy="78572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29</xdr:row>
      <xdr:rowOff>133349</xdr:rowOff>
    </xdr:from>
    <xdr:to>
      <xdr:col>4</xdr:col>
      <xdr:colOff>561975</xdr:colOff>
      <xdr:row>29</xdr:row>
      <xdr:rowOff>895232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734300" y="25260299"/>
          <a:ext cx="523875" cy="761883"/>
        </a:xfrm>
        <a:prstGeom prst="rect">
          <a:avLst/>
        </a:prstGeom>
      </xdr:spPr>
    </xdr:pic>
    <xdr:clientData/>
  </xdr:twoCellAnchor>
  <xdr:twoCellAnchor>
    <xdr:from>
      <xdr:col>4</xdr:col>
      <xdr:colOff>38101</xdr:colOff>
      <xdr:row>31</xdr:row>
      <xdr:rowOff>114301</xdr:rowOff>
    </xdr:from>
    <xdr:to>
      <xdr:col>4</xdr:col>
      <xdr:colOff>565516</xdr:colOff>
      <xdr:row>31</xdr:row>
      <xdr:rowOff>914401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734301" y="27260551"/>
          <a:ext cx="527415" cy="800100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31</xdr:row>
      <xdr:rowOff>95250</xdr:rowOff>
    </xdr:from>
    <xdr:to>
      <xdr:col>3</xdr:col>
      <xdr:colOff>5191125</xdr:colOff>
      <xdr:row>31</xdr:row>
      <xdr:rowOff>875764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486025" y="27241500"/>
          <a:ext cx="5086350" cy="780514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32</xdr:row>
      <xdr:rowOff>142876</xdr:rowOff>
    </xdr:from>
    <xdr:to>
      <xdr:col>4</xdr:col>
      <xdr:colOff>543147</xdr:colOff>
      <xdr:row>32</xdr:row>
      <xdr:rowOff>857250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724775" y="28298776"/>
          <a:ext cx="514572" cy="714374"/>
        </a:xfrm>
        <a:prstGeom prst="rect">
          <a:avLst/>
        </a:prstGeom>
      </xdr:spPr>
    </xdr:pic>
    <xdr:clientData/>
  </xdr:twoCellAnchor>
  <xdr:twoCellAnchor>
    <xdr:from>
      <xdr:col>3</xdr:col>
      <xdr:colOff>219075</xdr:colOff>
      <xdr:row>32</xdr:row>
      <xdr:rowOff>114300</xdr:rowOff>
    </xdr:from>
    <xdr:to>
      <xdr:col>3</xdr:col>
      <xdr:colOff>5143500</xdr:colOff>
      <xdr:row>32</xdr:row>
      <xdr:rowOff>887504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600325" y="28270200"/>
          <a:ext cx="4924425" cy="773204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33</xdr:row>
      <xdr:rowOff>85726</xdr:rowOff>
    </xdr:from>
    <xdr:to>
      <xdr:col>4</xdr:col>
      <xdr:colOff>552450</xdr:colOff>
      <xdr:row>33</xdr:row>
      <xdr:rowOff>957408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724775" y="29260801"/>
          <a:ext cx="523875" cy="871682"/>
        </a:xfrm>
        <a:prstGeom prst="rect">
          <a:avLst/>
        </a:prstGeom>
      </xdr:spPr>
    </xdr:pic>
    <xdr:clientData/>
  </xdr:twoCellAnchor>
  <xdr:twoCellAnchor editAs="oneCell">
    <xdr:from>
      <xdr:col>3</xdr:col>
      <xdr:colOff>196851</xdr:colOff>
      <xdr:row>33</xdr:row>
      <xdr:rowOff>114300</xdr:rowOff>
    </xdr:from>
    <xdr:to>
      <xdr:col>4</xdr:col>
      <xdr:colOff>1361</xdr:colOff>
      <xdr:row>33</xdr:row>
      <xdr:rowOff>877271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659744" y="29315229"/>
          <a:ext cx="5205185" cy="762971"/>
        </a:xfrm>
        <a:prstGeom prst="rect">
          <a:avLst/>
        </a:prstGeom>
      </xdr:spPr>
    </xdr:pic>
    <xdr:clientData/>
  </xdr:twoCellAnchor>
  <xdr:twoCellAnchor>
    <xdr:from>
      <xdr:col>4</xdr:col>
      <xdr:colOff>54712</xdr:colOff>
      <xdr:row>34</xdr:row>
      <xdr:rowOff>85725</xdr:rowOff>
    </xdr:from>
    <xdr:to>
      <xdr:col>4</xdr:col>
      <xdr:colOff>571500</xdr:colOff>
      <xdr:row>34</xdr:row>
      <xdr:rowOff>952500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750912" y="30270450"/>
          <a:ext cx="516788" cy="866775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34</xdr:row>
      <xdr:rowOff>85725</xdr:rowOff>
    </xdr:from>
    <xdr:to>
      <xdr:col>3</xdr:col>
      <xdr:colOff>5237437</xdr:colOff>
      <xdr:row>34</xdr:row>
      <xdr:rowOff>857250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457450" y="30270450"/>
          <a:ext cx="5161237" cy="771525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35</xdr:row>
      <xdr:rowOff>66676</xdr:rowOff>
    </xdr:from>
    <xdr:to>
      <xdr:col>4</xdr:col>
      <xdr:colOff>485775</xdr:colOff>
      <xdr:row>35</xdr:row>
      <xdr:rowOff>846222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077200" y="31261051"/>
          <a:ext cx="428625" cy="779546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35</xdr:row>
      <xdr:rowOff>47626</xdr:rowOff>
    </xdr:from>
    <xdr:to>
      <xdr:col>3</xdr:col>
      <xdr:colOff>5286375</xdr:colOff>
      <xdr:row>35</xdr:row>
      <xdr:rowOff>828008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438400" y="31222951"/>
          <a:ext cx="5229225" cy="780382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36</xdr:row>
      <xdr:rowOff>126002</xdr:rowOff>
    </xdr:from>
    <xdr:to>
      <xdr:col>4</xdr:col>
      <xdr:colOff>525463</xdr:colOff>
      <xdr:row>36</xdr:row>
      <xdr:rowOff>806451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077200" y="32234777"/>
          <a:ext cx="468313" cy="680449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120651</xdr:colOff>
      <xdr:row>36</xdr:row>
      <xdr:rowOff>76200</xdr:rowOff>
    </xdr:from>
    <xdr:to>
      <xdr:col>4</xdr:col>
      <xdr:colOff>1</xdr:colOff>
      <xdr:row>36</xdr:row>
      <xdr:rowOff>845143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583544" y="32189057"/>
          <a:ext cx="5403850" cy="772118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40</xdr:row>
      <xdr:rowOff>28575</xdr:rowOff>
    </xdr:from>
    <xdr:to>
      <xdr:col>4</xdr:col>
      <xdr:colOff>550655</xdr:colOff>
      <xdr:row>40</xdr:row>
      <xdr:rowOff>800100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791450" y="35480625"/>
          <a:ext cx="455405" cy="771525"/>
        </a:xfrm>
        <a:prstGeom prst="rect">
          <a:avLst/>
        </a:prstGeom>
      </xdr:spPr>
    </xdr:pic>
    <xdr:clientData/>
  </xdr:twoCellAnchor>
  <xdr:twoCellAnchor>
    <xdr:from>
      <xdr:col>3</xdr:col>
      <xdr:colOff>352426</xdr:colOff>
      <xdr:row>40</xdr:row>
      <xdr:rowOff>66675</xdr:rowOff>
    </xdr:from>
    <xdr:to>
      <xdr:col>3</xdr:col>
      <xdr:colOff>4981576</xdr:colOff>
      <xdr:row>40</xdr:row>
      <xdr:rowOff>762788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733676" y="35518725"/>
          <a:ext cx="4629150" cy="696113"/>
        </a:xfrm>
        <a:prstGeom prst="rect">
          <a:avLst/>
        </a:prstGeom>
      </xdr:spPr>
    </xdr:pic>
    <xdr:clientData/>
  </xdr:twoCellAnchor>
  <xdr:twoCellAnchor>
    <xdr:from>
      <xdr:col>4</xdr:col>
      <xdr:colOff>114301</xdr:colOff>
      <xdr:row>41</xdr:row>
      <xdr:rowOff>38101</xdr:rowOff>
    </xdr:from>
    <xdr:to>
      <xdr:col>4</xdr:col>
      <xdr:colOff>533400</xdr:colOff>
      <xdr:row>41</xdr:row>
      <xdr:rowOff>798180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810501" y="36299776"/>
          <a:ext cx="419099" cy="76007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381001</xdr:colOff>
      <xdr:row>41</xdr:row>
      <xdr:rowOff>57150</xdr:rowOff>
    </xdr:from>
    <xdr:to>
      <xdr:col>4</xdr:col>
      <xdr:colOff>454</xdr:colOff>
      <xdr:row>41</xdr:row>
      <xdr:rowOff>810319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843894" y="36347400"/>
          <a:ext cx="5102678" cy="74999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42</xdr:row>
      <xdr:rowOff>152401</xdr:rowOff>
    </xdr:from>
    <xdr:to>
      <xdr:col>4</xdr:col>
      <xdr:colOff>552450</xdr:colOff>
      <xdr:row>42</xdr:row>
      <xdr:rowOff>895351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771342" y="37204651"/>
          <a:ext cx="485775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42</xdr:row>
      <xdr:rowOff>120650</xdr:rowOff>
    </xdr:from>
    <xdr:to>
      <xdr:col>4</xdr:col>
      <xdr:colOff>2721</xdr:colOff>
      <xdr:row>42</xdr:row>
      <xdr:rowOff>887285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672443" y="37240936"/>
          <a:ext cx="5260521" cy="76346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43</xdr:row>
      <xdr:rowOff>47626</xdr:rowOff>
    </xdr:from>
    <xdr:to>
      <xdr:col>4</xdr:col>
      <xdr:colOff>552450</xdr:colOff>
      <xdr:row>43</xdr:row>
      <xdr:rowOff>885606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743825" y="38157151"/>
          <a:ext cx="504825" cy="83798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43</xdr:row>
      <xdr:rowOff>133350</xdr:rowOff>
    </xdr:from>
    <xdr:to>
      <xdr:col>4</xdr:col>
      <xdr:colOff>907</xdr:colOff>
      <xdr:row>43</xdr:row>
      <xdr:rowOff>923925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545443" y="38274171"/>
          <a:ext cx="5360307" cy="78740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44</xdr:row>
      <xdr:rowOff>76201</xdr:rowOff>
    </xdr:from>
    <xdr:to>
      <xdr:col>4</xdr:col>
      <xdr:colOff>552450</xdr:colOff>
      <xdr:row>44</xdr:row>
      <xdr:rowOff>897087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772400" y="39185851"/>
          <a:ext cx="476250" cy="820886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44</xdr:row>
      <xdr:rowOff>133350</xdr:rowOff>
    </xdr:from>
    <xdr:to>
      <xdr:col>3</xdr:col>
      <xdr:colOff>5238750</xdr:colOff>
      <xdr:row>44</xdr:row>
      <xdr:rowOff>938304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466975" y="39243000"/>
          <a:ext cx="5153025" cy="804954"/>
        </a:xfrm>
        <a:prstGeom prst="rect">
          <a:avLst/>
        </a:prstGeom>
      </xdr:spPr>
    </xdr:pic>
    <xdr:clientData/>
  </xdr:twoCellAnchor>
  <xdr:twoCellAnchor>
    <xdr:from>
      <xdr:col>4</xdr:col>
      <xdr:colOff>85725</xdr:colOff>
      <xdr:row>45</xdr:row>
      <xdr:rowOff>95250</xdr:rowOff>
    </xdr:from>
    <xdr:to>
      <xdr:col>4</xdr:col>
      <xdr:colOff>560310</xdr:colOff>
      <xdr:row>45</xdr:row>
      <xdr:rowOff>866775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781925" y="40214550"/>
          <a:ext cx="474585" cy="771525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45</xdr:row>
      <xdr:rowOff>76201</xdr:rowOff>
    </xdr:from>
    <xdr:to>
      <xdr:col>3</xdr:col>
      <xdr:colOff>5286375</xdr:colOff>
      <xdr:row>45</xdr:row>
      <xdr:rowOff>870365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495550" y="40195501"/>
          <a:ext cx="5172075" cy="794164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46</xdr:row>
      <xdr:rowOff>114300</xdr:rowOff>
    </xdr:from>
    <xdr:to>
      <xdr:col>3</xdr:col>
      <xdr:colOff>5216980</xdr:colOff>
      <xdr:row>46</xdr:row>
      <xdr:rowOff>876300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590800" y="41252775"/>
          <a:ext cx="5007430" cy="76200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46</xdr:row>
      <xdr:rowOff>95250</xdr:rowOff>
    </xdr:from>
    <xdr:to>
      <xdr:col>4</xdr:col>
      <xdr:colOff>532330</xdr:colOff>
      <xdr:row>46</xdr:row>
      <xdr:rowOff>866776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102600" y="41198800"/>
          <a:ext cx="456130" cy="771526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45</xdr:row>
      <xdr:rowOff>190501</xdr:rowOff>
    </xdr:from>
    <xdr:to>
      <xdr:col>9</xdr:col>
      <xdr:colOff>1002892</xdr:colOff>
      <xdr:row>45</xdr:row>
      <xdr:rowOff>895351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/>
        <a:srcRect l="11983" t="57702" r="9091" b="1907"/>
        <a:stretch/>
      </xdr:blipFill>
      <xdr:spPr>
        <a:xfrm>
          <a:off x="17040225" y="40309801"/>
          <a:ext cx="961617" cy="70485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45</xdr:row>
      <xdr:rowOff>123826</xdr:rowOff>
    </xdr:from>
    <xdr:to>
      <xdr:col>8</xdr:col>
      <xdr:colOff>5949950</xdr:colOff>
      <xdr:row>45</xdr:row>
      <xdr:rowOff>963059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0848975" y="40243126"/>
          <a:ext cx="5810250" cy="836058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45</xdr:row>
      <xdr:rowOff>104775</xdr:rowOff>
    </xdr:from>
    <xdr:to>
      <xdr:col>10</xdr:col>
      <xdr:colOff>557173</xdr:colOff>
      <xdr:row>45</xdr:row>
      <xdr:rowOff>990600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7678400" y="40224075"/>
          <a:ext cx="490498" cy="885825"/>
        </a:xfrm>
        <a:prstGeom prst="rect">
          <a:avLst/>
        </a:prstGeom>
      </xdr:spPr>
    </xdr:pic>
    <xdr:clientData/>
  </xdr:twoCellAnchor>
  <xdr:twoCellAnchor>
    <xdr:from>
      <xdr:col>3</xdr:col>
      <xdr:colOff>104776</xdr:colOff>
      <xdr:row>30</xdr:row>
      <xdr:rowOff>114300</xdr:rowOff>
    </xdr:from>
    <xdr:to>
      <xdr:col>3</xdr:col>
      <xdr:colOff>5267326</xdr:colOff>
      <xdr:row>30</xdr:row>
      <xdr:rowOff>878409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486026" y="26250900"/>
          <a:ext cx="5162550" cy="764109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30</xdr:row>
      <xdr:rowOff>38101</xdr:rowOff>
    </xdr:from>
    <xdr:to>
      <xdr:col>4</xdr:col>
      <xdr:colOff>495300</xdr:colOff>
      <xdr:row>30</xdr:row>
      <xdr:rowOff>904388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762875" y="26174701"/>
          <a:ext cx="428625" cy="866287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29</xdr:row>
      <xdr:rowOff>84403</xdr:rowOff>
    </xdr:from>
    <xdr:to>
      <xdr:col>4</xdr:col>
      <xdr:colOff>2269</xdr:colOff>
      <xdr:row>29</xdr:row>
      <xdr:rowOff>847725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520043" y="25244010"/>
          <a:ext cx="5453744" cy="7601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</xdr:row>
          <xdr:rowOff>142875</xdr:rowOff>
        </xdr:from>
        <xdr:to>
          <xdr:col>7</xdr:col>
          <xdr:colOff>447675</xdr:colOff>
          <xdr:row>4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5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</xdr:row>
          <xdr:rowOff>142875</xdr:rowOff>
        </xdr:from>
        <xdr:to>
          <xdr:col>7</xdr:col>
          <xdr:colOff>447675</xdr:colOff>
          <xdr:row>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5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</xdr:row>
          <xdr:rowOff>142875</xdr:rowOff>
        </xdr:from>
        <xdr:to>
          <xdr:col>7</xdr:col>
          <xdr:colOff>447675</xdr:colOff>
          <xdr:row>6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5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</xdr:row>
          <xdr:rowOff>142875</xdr:rowOff>
        </xdr:from>
        <xdr:to>
          <xdr:col>7</xdr:col>
          <xdr:colOff>447675</xdr:colOff>
          <xdr:row>7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5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6</xdr:row>
          <xdr:rowOff>142875</xdr:rowOff>
        </xdr:from>
        <xdr:to>
          <xdr:col>7</xdr:col>
          <xdr:colOff>447675</xdr:colOff>
          <xdr:row>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5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7</xdr:row>
          <xdr:rowOff>142875</xdr:rowOff>
        </xdr:from>
        <xdr:to>
          <xdr:col>7</xdr:col>
          <xdr:colOff>447675</xdr:colOff>
          <xdr:row>9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5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8</xdr:row>
          <xdr:rowOff>142875</xdr:rowOff>
        </xdr:from>
        <xdr:to>
          <xdr:col>7</xdr:col>
          <xdr:colOff>447675</xdr:colOff>
          <xdr:row>10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5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</xdr:row>
          <xdr:rowOff>142875</xdr:rowOff>
        </xdr:from>
        <xdr:to>
          <xdr:col>7</xdr:col>
          <xdr:colOff>447675</xdr:colOff>
          <xdr:row>11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5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10</xdr:row>
          <xdr:rowOff>142875</xdr:rowOff>
        </xdr:from>
        <xdr:to>
          <xdr:col>7</xdr:col>
          <xdr:colOff>447675</xdr:colOff>
          <xdr:row>12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5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11</xdr:row>
          <xdr:rowOff>142875</xdr:rowOff>
        </xdr:from>
        <xdr:to>
          <xdr:col>7</xdr:col>
          <xdr:colOff>447675</xdr:colOff>
          <xdr:row>13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5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12</xdr:row>
          <xdr:rowOff>142875</xdr:rowOff>
        </xdr:from>
        <xdr:to>
          <xdr:col>7</xdr:col>
          <xdr:colOff>447675</xdr:colOff>
          <xdr:row>14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5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13</xdr:row>
          <xdr:rowOff>142875</xdr:rowOff>
        </xdr:from>
        <xdr:to>
          <xdr:col>7</xdr:col>
          <xdr:colOff>447675</xdr:colOff>
          <xdr:row>15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5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14</xdr:row>
          <xdr:rowOff>142875</xdr:rowOff>
        </xdr:from>
        <xdr:to>
          <xdr:col>7</xdr:col>
          <xdr:colOff>447675</xdr:colOff>
          <xdr:row>16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5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15</xdr:row>
          <xdr:rowOff>142875</xdr:rowOff>
        </xdr:from>
        <xdr:to>
          <xdr:col>7</xdr:col>
          <xdr:colOff>447675</xdr:colOff>
          <xdr:row>17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5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16</xdr:row>
          <xdr:rowOff>142875</xdr:rowOff>
        </xdr:from>
        <xdr:to>
          <xdr:col>7</xdr:col>
          <xdr:colOff>447675</xdr:colOff>
          <xdr:row>18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5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17</xdr:row>
          <xdr:rowOff>142875</xdr:rowOff>
        </xdr:from>
        <xdr:to>
          <xdr:col>7</xdr:col>
          <xdr:colOff>447675</xdr:colOff>
          <xdr:row>19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5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18</xdr:row>
          <xdr:rowOff>142875</xdr:rowOff>
        </xdr:from>
        <xdr:to>
          <xdr:col>7</xdr:col>
          <xdr:colOff>447675</xdr:colOff>
          <xdr:row>20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5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19</xdr:row>
          <xdr:rowOff>142875</xdr:rowOff>
        </xdr:from>
        <xdr:to>
          <xdr:col>7</xdr:col>
          <xdr:colOff>447675</xdr:colOff>
          <xdr:row>21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5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20</xdr:row>
          <xdr:rowOff>142875</xdr:rowOff>
        </xdr:from>
        <xdr:to>
          <xdr:col>7</xdr:col>
          <xdr:colOff>447675</xdr:colOff>
          <xdr:row>22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5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21</xdr:row>
          <xdr:rowOff>142875</xdr:rowOff>
        </xdr:from>
        <xdr:to>
          <xdr:col>7</xdr:col>
          <xdr:colOff>447675</xdr:colOff>
          <xdr:row>23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5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22</xdr:row>
          <xdr:rowOff>142875</xdr:rowOff>
        </xdr:from>
        <xdr:to>
          <xdr:col>7</xdr:col>
          <xdr:colOff>447675</xdr:colOff>
          <xdr:row>24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5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23</xdr:row>
          <xdr:rowOff>142875</xdr:rowOff>
        </xdr:from>
        <xdr:to>
          <xdr:col>7</xdr:col>
          <xdr:colOff>447675</xdr:colOff>
          <xdr:row>25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5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24</xdr:row>
          <xdr:rowOff>142875</xdr:rowOff>
        </xdr:from>
        <xdr:to>
          <xdr:col>7</xdr:col>
          <xdr:colOff>447675</xdr:colOff>
          <xdr:row>26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5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25</xdr:row>
          <xdr:rowOff>142875</xdr:rowOff>
        </xdr:from>
        <xdr:to>
          <xdr:col>7</xdr:col>
          <xdr:colOff>447675</xdr:colOff>
          <xdr:row>27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5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26</xdr:row>
          <xdr:rowOff>142875</xdr:rowOff>
        </xdr:from>
        <xdr:to>
          <xdr:col>7</xdr:col>
          <xdr:colOff>447675</xdr:colOff>
          <xdr:row>28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5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27</xdr:row>
          <xdr:rowOff>142875</xdr:rowOff>
        </xdr:from>
        <xdr:to>
          <xdr:col>7</xdr:col>
          <xdr:colOff>447675</xdr:colOff>
          <xdr:row>29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5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28</xdr:row>
          <xdr:rowOff>142875</xdr:rowOff>
        </xdr:from>
        <xdr:to>
          <xdr:col>7</xdr:col>
          <xdr:colOff>447675</xdr:colOff>
          <xdr:row>30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5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29</xdr:row>
          <xdr:rowOff>142875</xdr:rowOff>
        </xdr:from>
        <xdr:to>
          <xdr:col>7</xdr:col>
          <xdr:colOff>447675</xdr:colOff>
          <xdr:row>31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5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30</xdr:row>
          <xdr:rowOff>142875</xdr:rowOff>
        </xdr:from>
        <xdr:to>
          <xdr:col>7</xdr:col>
          <xdr:colOff>447675</xdr:colOff>
          <xdr:row>32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5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31</xdr:row>
          <xdr:rowOff>142875</xdr:rowOff>
        </xdr:from>
        <xdr:to>
          <xdr:col>7</xdr:col>
          <xdr:colOff>447675</xdr:colOff>
          <xdr:row>33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5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32</xdr:row>
          <xdr:rowOff>142875</xdr:rowOff>
        </xdr:from>
        <xdr:to>
          <xdr:col>7</xdr:col>
          <xdr:colOff>447675</xdr:colOff>
          <xdr:row>34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5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33</xdr:row>
          <xdr:rowOff>142875</xdr:rowOff>
        </xdr:from>
        <xdr:to>
          <xdr:col>7</xdr:col>
          <xdr:colOff>447675</xdr:colOff>
          <xdr:row>35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5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34</xdr:row>
          <xdr:rowOff>142875</xdr:rowOff>
        </xdr:from>
        <xdr:to>
          <xdr:col>7</xdr:col>
          <xdr:colOff>447675</xdr:colOff>
          <xdr:row>36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5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35</xdr:row>
          <xdr:rowOff>142875</xdr:rowOff>
        </xdr:from>
        <xdr:to>
          <xdr:col>7</xdr:col>
          <xdr:colOff>447675</xdr:colOff>
          <xdr:row>37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5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36</xdr:row>
          <xdr:rowOff>142875</xdr:rowOff>
        </xdr:from>
        <xdr:to>
          <xdr:col>7</xdr:col>
          <xdr:colOff>447675</xdr:colOff>
          <xdr:row>38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5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37</xdr:row>
          <xdr:rowOff>142875</xdr:rowOff>
        </xdr:from>
        <xdr:to>
          <xdr:col>7</xdr:col>
          <xdr:colOff>447675</xdr:colOff>
          <xdr:row>39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5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38</xdr:row>
          <xdr:rowOff>142875</xdr:rowOff>
        </xdr:from>
        <xdr:to>
          <xdr:col>7</xdr:col>
          <xdr:colOff>447675</xdr:colOff>
          <xdr:row>40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5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39</xdr:row>
          <xdr:rowOff>142875</xdr:rowOff>
        </xdr:from>
        <xdr:to>
          <xdr:col>7</xdr:col>
          <xdr:colOff>447675</xdr:colOff>
          <xdr:row>41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5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40</xdr:row>
          <xdr:rowOff>142875</xdr:rowOff>
        </xdr:from>
        <xdr:to>
          <xdr:col>7</xdr:col>
          <xdr:colOff>447675</xdr:colOff>
          <xdr:row>42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5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41</xdr:row>
          <xdr:rowOff>142875</xdr:rowOff>
        </xdr:from>
        <xdr:to>
          <xdr:col>7</xdr:col>
          <xdr:colOff>447675</xdr:colOff>
          <xdr:row>43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5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42</xdr:row>
          <xdr:rowOff>142875</xdr:rowOff>
        </xdr:from>
        <xdr:to>
          <xdr:col>7</xdr:col>
          <xdr:colOff>447675</xdr:colOff>
          <xdr:row>44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5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43</xdr:row>
          <xdr:rowOff>142875</xdr:rowOff>
        </xdr:from>
        <xdr:to>
          <xdr:col>7</xdr:col>
          <xdr:colOff>447675</xdr:colOff>
          <xdr:row>45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5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44</xdr:row>
          <xdr:rowOff>142875</xdr:rowOff>
        </xdr:from>
        <xdr:to>
          <xdr:col>7</xdr:col>
          <xdr:colOff>447675</xdr:colOff>
          <xdr:row>46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5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45</xdr:row>
          <xdr:rowOff>142875</xdr:rowOff>
        </xdr:from>
        <xdr:to>
          <xdr:col>7</xdr:col>
          <xdr:colOff>447675</xdr:colOff>
          <xdr:row>47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5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46</xdr:row>
          <xdr:rowOff>142875</xdr:rowOff>
        </xdr:from>
        <xdr:to>
          <xdr:col>7</xdr:col>
          <xdr:colOff>447675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5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47</xdr:row>
          <xdr:rowOff>142875</xdr:rowOff>
        </xdr:from>
        <xdr:to>
          <xdr:col>7</xdr:col>
          <xdr:colOff>447675</xdr:colOff>
          <xdr:row>49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5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48</xdr:row>
          <xdr:rowOff>142875</xdr:rowOff>
        </xdr:from>
        <xdr:to>
          <xdr:col>7</xdr:col>
          <xdr:colOff>447675</xdr:colOff>
          <xdr:row>50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5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49</xdr:row>
          <xdr:rowOff>142875</xdr:rowOff>
        </xdr:from>
        <xdr:to>
          <xdr:col>7</xdr:col>
          <xdr:colOff>447675</xdr:colOff>
          <xdr:row>51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5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50</xdr:row>
          <xdr:rowOff>142875</xdr:rowOff>
        </xdr:from>
        <xdr:to>
          <xdr:col>7</xdr:col>
          <xdr:colOff>447675</xdr:colOff>
          <xdr:row>52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5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51</xdr:row>
          <xdr:rowOff>142875</xdr:rowOff>
        </xdr:from>
        <xdr:to>
          <xdr:col>7</xdr:col>
          <xdr:colOff>447675</xdr:colOff>
          <xdr:row>53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5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</xdr:row>
          <xdr:rowOff>142875</xdr:rowOff>
        </xdr:from>
        <xdr:to>
          <xdr:col>9</xdr:col>
          <xdr:colOff>638175</xdr:colOff>
          <xdr:row>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5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</xdr:row>
          <xdr:rowOff>142875</xdr:rowOff>
        </xdr:from>
        <xdr:to>
          <xdr:col>9</xdr:col>
          <xdr:colOff>638175</xdr:colOff>
          <xdr:row>5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5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</xdr:row>
          <xdr:rowOff>142875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5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5</xdr:row>
          <xdr:rowOff>142875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5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6</xdr:row>
          <xdr:rowOff>142875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5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7</xdr:row>
          <xdr:rowOff>142875</xdr:rowOff>
        </xdr:from>
        <xdr:to>
          <xdr:col>9</xdr:col>
          <xdr:colOff>638175</xdr:colOff>
          <xdr:row>9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5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8</xdr:row>
          <xdr:rowOff>142875</xdr:rowOff>
        </xdr:from>
        <xdr:to>
          <xdr:col>9</xdr:col>
          <xdr:colOff>638175</xdr:colOff>
          <xdr:row>10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5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9</xdr:row>
          <xdr:rowOff>142875</xdr:rowOff>
        </xdr:from>
        <xdr:to>
          <xdr:col>9</xdr:col>
          <xdr:colOff>638175</xdr:colOff>
          <xdr:row>11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5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10</xdr:row>
          <xdr:rowOff>142875</xdr:rowOff>
        </xdr:from>
        <xdr:to>
          <xdr:col>9</xdr:col>
          <xdr:colOff>638175</xdr:colOff>
          <xdr:row>12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5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11</xdr:row>
          <xdr:rowOff>142875</xdr:rowOff>
        </xdr:from>
        <xdr:to>
          <xdr:col>9</xdr:col>
          <xdr:colOff>638175</xdr:colOff>
          <xdr:row>13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5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12</xdr:row>
          <xdr:rowOff>142875</xdr:rowOff>
        </xdr:from>
        <xdr:to>
          <xdr:col>9</xdr:col>
          <xdr:colOff>638175</xdr:colOff>
          <xdr:row>14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5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13</xdr:row>
          <xdr:rowOff>142875</xdr:rowOff>
        </xdr:from>
        <xdr:to>
          <xdr:col>9</xdr:col>
          <xdr:colOff>638175</xdr:colOff>
          <xdr:row>15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5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14</xdr:row>
          <xdr:rowOff>142875</xdr:rowOff>
        </xdr:from>
        <xdr:to>
          <xdr:col>9</xdr:col>
          <xdr:colOff>638175</xdr:colOff>
          <xdr:row>16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5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15</xdr:row>
          <xdr:rowOff>142875</xdr:rowOff>
        </xdr:from>
        <xdr:to>
          <xdr:col>9</xdr:col>
          <xdr:colOff>638175</xdr:colOff>
          <xdr:row>17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5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16</xdr:row>
          <xdr:rowOff>142875</xdr:rowOff>
        </xdr:from>
        <xdr:to>
          <xdr:col>9</xdr:col>
          <xdr:colOff>638175</xdr:colOff>
          <xdr:row>18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5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17</xdr:row>
          <xdr:rowOff>142875</xdr:rowOff>
        </xdr:from>
        <xdr:to>
          <xdr:col>9</xdr:col>
          <xdr:colOff>638175</xdr:colOff>
          <xdr:row>19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5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18</xdr:row>
          <xdr:rowOff>142875</xdr:rowOff>
        </xdr:from>
        <xdr:to>
          <xdr:col>9</xdr:col>
          <xdr:colOff>638175</xdr:colOff>
          <xdr:row>20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5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19</xdr:row>
          <xdr:rowOff>142875</xdr:rowOff>
        </xdr:from>
        <xdr:to>
          <xdr:col>9</xdr:col>
          <xdr:colOff>638175</xdr:colOff>
          <xdr:row>21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5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20</xdr:row>
          <xdr:rowOff>142875</xdr:rowOff>
        </xdr:from>
        <xdr:to>
          <xdr:col>9</xdr:col>
          <xdr:colOff>638175</xdr:colOff>
          <xdr:row>22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5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21</xdr:row>
          <xdr:rowOff>142875</xdr:rowOff>
        </xdr:from>
        <xdr:to>
          <xdr:col>9</xdr:col>
          <xdr:colOff>638175</xdr:colOff>
          <xdr:row>23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5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22</xdr:row>
          <xdr:rowOff>142875</xdr:rowOff>
        </xdr:from>
        <xdr:to>
          <xdr:col>9</xdr:col>
          <xdr:colOff>638175</xdr:colOff>
          <xdr:row>24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5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23</xdr:row>
          <xdr:rowOff>142875</xdr:rowOff>
        </xdr:from>
        <xdr:to>
          <xdr:col>9</xdr:col>
          <xdr:colOff>638175</xdr:colOff>
          <xdr:row>25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5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24</xdr:row>
          <xdr:rowOff>142875</xdr:rowOff>
        </xdr:from>
        <xdr:to>
          <xdr:col>9</xdr:col>
          <xdr:colOff>638175</xdr:colOff>
          <xdr:row>26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5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25</xdr:row>
          <xdr:rowOff>142875</xdr:rowOff>
        </xdr:from>
        <xdr:to>
          <xdr:col>9</xdr:col>
          <xdr:colOff>638175</xdr:colOff>
          <xdr:row>27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5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26</xdr:row>
          <xdr:rowOff>142875</xdr:rowOff>
        </xdr:from>
        <xdr:to>
          <xdr:col>9</xdr:col>
          <xdr:colOff>638175</xdr:colOff>
          <xdr:row>28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5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27</xdr:row>
          <xdr:rowOff>142875</xdr:rowOff>
        </xdr:from>
        <xdr:to>
          <xdr:col>9</xdr:col>
          <xdr:colOff>638175</xdr:colOff>
          <xdr:row>29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5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28</xdr:row>
          <xdr:rowOff>142875</xdr:rowOff>
        </xdr:from>
        <xdr:to>
          <xdr:col>9</xdr:col>
          <xdr:colOff>638175</xdr:colOff>
          <xdr:row>30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5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29</xdr:row>
          <xdr:rowOff>142875</xdr:rowOff>
        </xdr:from>
        <xdr:to>
          <xdr:col>9</xdr:col>
          <xdr:colOff>638175</xdr:colOff>
          <xdr:row>31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5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30</xdr:row>
          <xdr:rowOff>142875</xdr:rowOff>
        </xdr:from>
        <xdr:to>
          <xdr:col>9</xdr:col>
          <xdr:colOff>638175</xdr:colOff>
          <xdr:row>32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5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31</xdr:row>
          <xdr:rowOff>142875</xdr:rowOff>
        </xdr:from>
        <xdr:to>
          <xdr:col>9</xdr:col>
          <xdr:colOff>638175</xdr:colOff>
          <xdr:row>33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5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32</xdr:row>
          <xdr:rowOff>142875</xdr:rowOff>
        </xdr:from>
        <xdr:to>
          <xdr:col>9</xdr:col>
          <xdr:colOff>638175</xdr:colOff>
          <xdr:row>34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5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33</xdr:row>
          <xdr:rowOff>142875</xdr:rowOff>
        </xdr:from>
        <xdr:to>
          <xdr:col>9</xdr:col>
          <xdr:colOff>638175</xdr:colOff>
          <xdr:row>35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5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34</xdr:row>
          <xdr:rowOff>142875</xdr:rowOff>
        </xdr:from>
        <xdr:to>
          <xdr:col>9</xdr:col>
          <xdr:colOff>638175</xdr:colOff>
          <xdr:row>36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5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35</xdr:row>
          <xdr:rowOff>142875</xdr:rowOff>
        </xdr:from>
        <xdr:to>
          <xdr:col>9</xdr:col>
          <xdr:colOff>638175</xdr:colOff>
          <xdr:row>37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5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36</xdr:row>
          <xdr:rowOff>142875</xdr:rowOff>
        </xdr:from>
        <xdr:to>
          <xdr:col>9</xdr:col>
          <xdr:colOff>638175</xdr:colOff>
          <xdr:row>38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5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37</xdr:row>
          <xdr:rowOff>142875</xdr:rowOff>
        </xdr:from>
        <xdr:to>
          <xdr:col>9</xdr:col>
          <xdr:colOff>638175</xdr:colOff>
          <xdr:row>39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5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38</xdr:row>
          <xdr:rowOff>142875</xdr:rowOff>
        </xdr:from>
        <xdr:to>
          <xdr:col>9</xdr:col>
          <xdr:colOff>638175</xdr:colOff>
          <xdr:row>40</xdr:row>
          <xdr:rowOff>19050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5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39</xdr:row>
          <xdr:rowOff>142875</xdr:rowOff>
        </xdr:from>
        <xdr:to>
          <xdr:col>9</xdr:col>
          <xdr:colOff>638175</xdr:colOff>
          <xdr:row>41</xdr:row>
          <xdr:rowOff>19050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5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40</xdr:row>
          <xdr:rowOff>142875</xdr:rowOff>
        </xdr:from>
        <xdr:to>
          <xdr:col>9</xdr:col>
          <xdr:colOff>638175</xdr:colOff>
          <xdr:row>42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5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41</xdr:row>
          <xdr:rowOff>142875</xdr:rowOff>
        </xdr:from>
        <xdr:to>
          <xdr:col>9</xdr:col>
          <xdr:colOff>638175</xdr:colOff>
          <xdr:row>43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5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42</xdr:row>
          <xdr:rowOff>142875</xdr:rowOff>
        </xdr:from>
        <xdr:to>
          <xdr:col>9</xdr:col>
          <xdr:colOff>638175</xdr:colOff>
          <xdr:row>44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5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43</xdr:row>
          <xdr:rowOff>142875</xdr:rowOff>
        </xdr:from>
        <xdr:to>
          <xdr:col>9</xdr:col>
          <xdr:colOff>638175</xdr:colOff>
          <xdr:row>45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5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44</xdr:row>
          <xdr:rowOff>142875</xdr:rowOff>
        </xdr:from>
        <xdr:to>
          <xdr:col>9</xdr:col>
          <xdr:colOff>638175</xdr:colOff>
          <xdr:row>46</xdr:row>
          <xdr:rowOff>19050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5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45</xdr:row>
          <xdr:rowOff>142875</xdr:rowOff>
        </xdr:from>
        <xdr:to>
          <xdr:col>9</xdr:col>
          <xdr:colOff>638175</xdr:colOff>
          <xdr:row>47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5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46</xdr:row>
          <xdr:rowOff>142875</xdr:rowOff>
        </xdr:from>
        <xdr:to>
          <xdr:col>9</xdr:col>
          <xdr:colOff>638175</xdr:colOff>
          <xdr:row>48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5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47</xdr:row>
          <xdr:rowOff>142875</xdr:rowOff>
        </xdr:from>
        <xdr:to>
          <xdr:col>9</xdr:col>
          <xdr:colOff>638175</xdr:colOff>
          <xdr:row>49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5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48</xdr:row>
          <xdr:rowOff>142875</xdr:rowOff>
        </xdr:from>
        <xdr:to>
          <xdr:col>9</xdr:col>
          <xdr:colOff>638175</xdr:colOff>
          <xdr:row>50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5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49</xdr:row>
          <xdr:rowOff>142875</xdr:rowOff>
        </xdr:from>
        <xdr:to>
          <xdr:col>9</xdr:col>
          <xdr:colOff>638175</xdr:colOff>
          <xdr:row>51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5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49</xdr:row>
          <xdr:rowOff>142875</xdr:rowOff>
        </xdr:from>
        <xdr:to>
          <xdr:col>9</xdr:col>
          <xdr:colOff>638175</xdr:colOff>
          <xdr:row>51</xdr:row>
          <xdr:rowOff>19050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5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50</xdr:row>
          <xdr:rowOff>142875</xdr:rowOff>
        </xdr:from>
        <xdr:to>
          <xdr:col>9</xdr:col>
          <xdr:colOff>638175</xdr:colOff>
          <xdr:row>52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5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51</xdr:row>
          <xdr:rowOff>142875</xdr:rowOff>
        </xdr:from>
        <xdr:to>
          <xdr:col>9</xdr:col>
          <xdr:colOff>638175</xdr:colOff>
          <xdr:row>53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5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</xdr:row>
          <xdr:rowOff>142875</xdr:rowOff>
        </xdr:from>
        <xdr:to>
          <xdr:col>7</xdr:col>
          <xdr:colOff>447675</xdr:colOff>
          <xdr:row>7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5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6</xdr:row>
          <xdr:rowOff>142875</xdr:rowOff>
        </xdr:from>
        <xdr:to>
          <xdr:col>7</xdr:col>
          <xdr:colOff>447675</xdr:colOff>
          <xdr:row>8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5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7</xdr:row>
          <xdr:rowOff>142875</xdr:rowOff>
        </xdr:from>
        <xdr:to>
          <xdr:col>7</xdr:col>
          <xdr:colOff>447675</xdr:colOff>
          <xdr:row>9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5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8</xdr:row>
          <xdr:rowOff>142875</xdr:rowOff>
        </xdr:from>
        <xdr:to>
          <xdr:col>7</xdr:col>
          <xdr:colOff>447675</xdr:colOff>
          <xdr:row>10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5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rry Barratt [mn20hb]" id="{08617595-8100-47A1-9A37-96F019B1EB02}" userId="S::mn20hb@leeds.ac.uk::c0fd8cd3-567d-4093-93f5-60651300b8c6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dT="2024-07-18T15:18:26.28" personId="{08617595-8100-47A1-9A37-96F019B1EB02}" id="{0B0EA725-98D1-43C1-86A3-F0122E5CB695}">
    <text>Results don’t show great correlation, this could be due to distribution of pores as sample 2 performs so much worse even though it has similar weights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3" dT="2024-07-18T15:18:26.28" personId="{08617595-8100-47A1-9A37-96F019B1EB02}" id="{BB34B482-45DE-4284-B1FF-A44A9DACCC7C}">
    <text>Results don’t show great correlation, this could be due to distribution of pores as sample 2 performs so much worse even though it has similar weights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01"/>
  <sheetViews>
    <sheetView zoomScale="55" zoomScaleNormal="55" workbookViewId="0">
      <selection activeCell="AG58" sqref="AG58"/>
    </sheetView>
  </sheetViews>
  <sheetFormatPr defaultRowHeight="12.75" x14ac:dyDescent="0.2"/>
  <cols>
    <col min="2" max="2" width="13.85546875" customWidth="1"/>
    <col min="9" max="9" width="12" customWidth="1"/>
    <col min="10" max="10" width="25.5703125" style="51" bestFit="1" customWidth="1"/>
    <col min="11" max="11" width="12.140625" style="2" bestFit="1" customWidth="1"/>
    <col min="12" max="12" width="25.5703125" style="2" bestFit="1" customWidth="1"/>
    <col min="13" max="13" width="22.85546875" style="75" bestFit="1" customWidth="1"/>
    <col min="14" max="14" width="24.140625" style="75" bestFit="1" customWidth="1"/>
    <col min="15" max="15" width="33.42578125" style="75" bestFit="1" customWidth="1"/>
    <col min="16" max="16" width="8.7109375" style="75"/>
    <col min="17" max="17" width="35.5703125" style="75" customWidth="1"/>
    <col min="18" max="18" width="9.140625" style="75"/>
    <col min="24" max="24" width="8.7109375" customWidth="1"/>
    <col min="25" max="25" width="11.85546875" bestFit="1" customWidth="1"/>
  </cols>
  <sheetData>
    <row r="3" spans="2:18" ht="13.5" customHeight="1" thickBot="1" x14ac:dyDescent="0.25">
      <c r="B3" s="20" t="s">
        <v>0</v>
      </c>
      <c r="C3" s="53" t="s">
        <v>1</v>
      </c>
      <c r="D3" s="52">
        <v>1</v>
      </c>
      <c r="E3" s="52">
        <v>2</v>
      </c>
      <c r="F3" s="52">
        <v>3</v>
      </c>
      <c r="G3" s="52">
        <v>4</v>
      </c>
      <c r="H3" s="52">
        <v>5</v>
      </c>
      <c r="I3" s="98" t="s">
        <v>2</v>
      </c>
      <c r="J3" s="54" t="s">
        <v>3</v>
      </c>
      <c r="K3" s="83" t="s">
        <v>4</v>
      </c>
      <c r="L3" s="83" t="s">
        <v>3</v>
      </c>
      <c r="M3" s="84" t="s">
        <v>64</v>
      </c>
      <c r="N3" s="84" t="s">
        <v>65</v>
      </c>
      <c r="O3" s="85" t="s">
        <v>66</v>
      </c>
    </row>
    <row r="4" spans="2:18" ht="12.95" customHeight="1" x14ac:dyDescent="0.2">
      <c r="B4" s="130" t="s">
        <v>5</v>
      </c>
      <c r="C4" s="42">
        <v>1</v>
      </c>
      <c r="D4" s="23">
        <v>0.40572999999999998</v>
      </c>
      <c r="E4" s="23">
        <v>0.40573999999999999</v>
      </c>
      <c r="F4" s="23">
        <v>0.40573999999999999</v>
      </c>
      <c r="G4" s="23">
        <v>0.40572999999999998</v>
      </c>
      <c r="H4" s="23">
        <v>0.40573999999999999</v>
      </c>
      <c r="I4" s="96">
        <f>(D4+E4+F4+G4+H4)/5</f>
        <v>0.40573599999999993</v>
      </c>
      <c r="J4" s="124">
        <f>AVERAGE(I4:I8)</f>
        <v>0.40609039999999996</v>
      </c>
      <c r="K4" s="86">
        <f>(I4)/1.18</f>
        <v>0.34384406779661014</v>
      </c>
      <c r="L4" s="134">
        <f>AVERAGE(K4:K8)</f>
        <v>0.34414440677966096</v>
      </c>
      <c r="M4" s="87">
        <f>K4/$K$58</f>
        <v>0.9765006016847172</v>
      </c>
      <c r="N4" s="88">
        <f>1-M4</f>
        <v>2.3499398315282805E-2</v>
      </c>
      <c r="O4" s="118">
        <f>AVERAGE(N4:N8)</f>
        <v>2.2646450060168365E-2</v>
      </c>
      <c r="P4" s="80"/>
      <c r="Q4" s="80"/>
      <c r="R4" s="80"/>
    </row>
    <row r="5" spans="2:18" ht="12.95" customHeight="1" x14ac:dyDescent="0.2">
      <c r="B5" s="128"/>
      <c r="C5" s="41">
        <v>2</v>
      </c>
      <c r="D5" s="21">
        <v>0.39512999999999998</v>
      </c>
      <c r="E5" s="21">
        <v>0.39513999999999999</v>
      </c>
      <c r="F5" s="21">
        <v>0.39513999999999999</v>
      </c>
      <c r="G5" s="21">
        <v>0.39516000000000001</v>
      </c>
      <c r="H5" s="21">
        <v>0.39516000000000001</v>
      </c>
      <c r="I5" s="96">
        <f t="shared" ref="I5:I53" si="0">(D5+E5+F5+G5+H5)/5</f>
        <v>0.395146</v>
      </c>
      <c r="J5" s="125"/>
      <c r="K5" s="89">
        <f t="shared" ref="K5:K53" si="1">(I5)/1.18</f>
        <v>0.33486949152542372</v>
      </c>
      <c r="L5" s="135"/>
      <c r="M5" s="90">
        <f t="shared" ref="M5:M53" si="2">K5/$K$58</f>
        <v>0.9510132370637786</v>
      </c>
      <c r="N5" s="91">
        <f t="shared" ref="N5:N53" si="3">1-M5</f>
        <v>4.8986762936221395E-2</v>
      </c>
      <c r="O5" s="119"/>
      <c r="P5" s="80"/>
      <c r="Q5" s="80"/>
      <c r="R5" s="80"/>
    </row>
    <row r="6" spans="2:18" ht="13.5" customHeight="1" x14ac:dyDescent="0.2">
      <c r="B6" s="128"/>
      <c r="C6" s="41">
        <v>3</v>
      </c>
      <c r="D6" s="21">
        <v>0.40905000000000002</v>
      </c>
      <c r="E6" s="21">
        <v>0.40906999999999999</v>
      </c>
      <c r="F6" s="21">
        <v>0.40906999999999999</v>
      </c>
      <c r="G6" s="21">
        <v>0.40906999999999999</v>
      </c>
      <c r="H6" s="21">
        <v>0.40905000000000002</v>
      </c>
      <c r="I6" s="96">
        <f t="shared" si="0"/>
        <v>0.40906200000000004</v>
      </c>
      <c r="J6" s="125"/>
      <c r="K6" s="89">
        <f t="shared" si="1"/>
        <v>0.34666271186440684</v>
      </c>
      <c r="L6" s="135"/>
      <c r="M6" s="90">
        <f t="shared" si="2"/>
        <v>0.98450541516245516</v>
      </c>
      <c r="N6" s="91">
        <f t="shared" si="3"/>
        <v>1.5494584837544845E-2</v>
      </c>
      <c r="O6" s="119"/>
      <c r="P6" s="80"/>
      <c r="Q6" s="100" t="s">
        <v>68</v>
      </c>
      <c r="R6" s="80"/>
    </row>
    <row r="7" spans="2:18" ht="12.95" customHeight="1" x14ac:dyDescent="0.2">
      <c r="B7" s="128"/>
      <c r="C7" s="41">
        <v>4</v>
      </c>
      <c r="D7" s="21">
        <v>0.40953000000000001</v>
      </c>
      <c r="E7" s="21">
        <v>0.40953000000000001</v>
      </c>
      <c r="F7" s="21">
        <v>0.40953000000000001</v>
      </c>
      <c r="G7" s="21">
        <v>0.40953000000000001</v>
      </c>
      <c r="H7" s="21">
        <v>0.40953000000000001</v>
      </c>
      <c r="I7" s="96">
        <f t="shared" si="0"/>
        <v>0.40953000000000001</v>
      </c>
      <c r="J7" s="125"/>
      <c r="K7" s="89">
        <f t="shared" si="1"/>
        <v>0.34705932203389833</v>
      </c>
      <c r="L7" s="135"/>
      <c r="M7" s="90">
        <f t="shared" si="2"/>
        <v>0.9856317689530687</v>
      </c>
      <c r="N7" s="91">
        <f t="shared" si="3"/>
        <v>1.4368231046931301E-2</v>
      </c>
      <c r="O7" s="121"/>
      <c r="P7" s="82"/>
      <c r="Q7" s="99">
        <v>0.35211864406779658</v>
      </c>
      <c r="R7" s="81"/>
    </row>
    <row r="8" spans="2:18" ht="13.5" customHeight="1" thickBot="1" x14ac:dyDescent="0.25">
      <c r="B8" s="129"/>
      <c r="C8" s="40">
        <v>5</v>
      </c>
      <c r="D8" s="22">
        <v>0.41097</v>
      </c>
      <c r="E8" s="22">
        <v>0.41098000000000001</v>
      </c>
      <c r="F8" s="22">
        <v>0.41097</v>
      </c>
      <c r="G8" s="22">
        <v>0.41097</v>
      </c>
      <c r="H8" s="22">
        <v>0.41099999999999998</v>
      </c>
      <c r="I8" s="97">
        <f t="shared" si="0"/>
        <v>0.41097799999999995</v>
      </c>
      <c r="J8" s="126"/>
      <c r="K8" s="89">
        <f t="shared" si="1"/>
        <v>0.3482864406779661</v>
      </c>
      <c r="L8" s="136"/>
      <c r="M8" s="90">
        <f t="shared" si="2"/>
        <v>0.98911672683513852</v>
      </c>
      <c r="N8" s="91">
        <f t="shared" si="3"/>
        <v>1.0883273164861484E-2</v>
      </c>
      <c r="O8" s="122"/>
      <c r="P8" s="82"/>
      <c r="Q8" s="81"/>
      <c r="R8" s="81"/>
    </row>
    <row r="9" spans="2:18" ht="12.95" customHeight="1" x14ac:dyDescent="0.2">
      <c r="B9" s="130" t="s">
        <v>6</v>
      </c>
      <c r="C9" s="42">
        <v>1</v>
      </c>
      <c r="D9" s="23">
        <v>0.40600999999999998</v>
      </c>
      <c r="E9" s="23">
        <v>0.40600000000000003</v>
      </c>
      <c r="F9" s="23">
        <v>0.40599000000000002</v>
      </c>
      <c r="G9" s="23">
        <v>0.40599000000000002</v>
      </c>
      <c r="H9" s="23">
        <v>0.40600999999999998</v>
      </c>
      <c r="I9" s="96">
        <f t="shared" si="0"/>
        <v>0.40600000000000003</v>
      </c>
      <c r="J9" s="124">
        <f>AVERAGE(I9:I13)</f>
        <v>0.39603840000000001</v>
      </c>
      <c r="K9" s="89">
        <f t="shared" si="1"/>
        <v>0.34406779661016951</v>
      </c>
      <c r="L9" s="137">
        <f t="shared" ref="L9" si="4">AVERAGE(K9:K13)</f>
        <v>0.33562576271186445</v>
      </c>
      <c r="M9" s="90">
        <f t="shared" si="2"/>
        <v>0.97713598074608921</v>
      </c>
      <c r="N9" s="91">
        <f t="shared" si="3"/>
        <v>2.2864019253910794E-2</v>
      </c>
      <c r="O9" s="123">
        <f t="shared" ref="O9" si="5">AVERAGE(N9:N13)</f>
        <v>4.6838989169674952E-2</v>
      </c>
      <c r="P9" s="82"/>
      <c r="Q9" s="114" t="s">
        <v>67</v>
      </c>
      <c r="R9" s="81"/>
    </row>
    <row r="10" spans="2:18" ht="12.95" customHeight="1" x14ac:dyDescent="0.2">
      <c r="B10" s="128"/>
      <c r="C10" s="41">
        <v>2</v>
      </c>
      <c r="D10" s="21">
        <v>0.38418999999999998</v>
      </c>
      <c r="E10" s="21">
        <v>0.38417000000000001</v>
      </c>
      <c r="F10" s="21">
        <v>0.38418000000000002</v>
      </c>
      <c r="G10" s="21">
        <v>0.38418999999999998</v>
      </c>
      <c r="H10" s="21">
        <v>0.38418999999999998</v>
      </c>
      <c r="I10" s="96">
        <f t="shared" si="0"/>
        <v>0.38418399999999997</v>
      </c>
      <c r="J10" s="125"/>
      <c r="K10" s="89">
        <f t="shared" si="1"/>
        <v>0.32557966101694913</v>
      </c>
      <c r="L10" s="135"/>
      <c r="M10" s="90">
        <f t="shared" si="2"/>
        <v>0.92463056558363421</v>
      </c>
      <c r="N10" s="91">
        <f t="shared" si="3"/>
        <v>7.5369434416365788E-2</v>
      </c>
      <c r="O10" s="121"/>
      <c r="P10" s="82"/>
      <c r="Q10" s="114"/>
      <c r="R10" s="81"/>
    </row>
    <row r="11" spans="2:18" ht="13.5" customHeight="1" x14ac:dyDescent="0.2">
      <c r="B11" s="128"/>
      <c r="C11" s="41">
        <v>3</v>
      </c>
      <c r="D11" s="21">
        <v>0.40059</v>
      </c>
      <c r="E11" s="21">
        <v>0.40057999999999999</v>
      </c>
      <c r="F11" s="21">
        <v>0.40056000000000003</v>
      </c>
      <c r="G11" s="21">
        <v>0.40054000000000001</v>
      </c>
      <c r="H11" s="21">
        <v>0.40056000000000003</v>
      </c>
      <c r="I11" s="96">
        <f t="shared" si="0"/>
        <v>0.40056599999999998</v>
      </c>
      <c r="J11" s="125"/>
      <c r="K11" s="89">
        <f t="shared" si="1"/>
        <v>0.3394627118644068</v>
      </c>
      <c r="L11" s="135"/>
      <c r="M11" s="90">
        <f t="shared" si="2"/>
        <v>0.96405776173285207</v>
      </c>
      <c r="N11" s="91">
        <f t="shared" si="3"/>
        <v>3.594223826714793E-2</v>
      </c>
      <c r="O11" s="121"/>
      <c r="P11" s="82"/>
      <c r="Q11" s="114"/>
      <c r="R11" s="81"/>
    </row>
    <row r="12" spans="2:18" ht="12.95" customHeight="1" x14ac:dyDescent="0.2">
      <c r="B12" s="128"/>
      <c r="C12" s="41">
        <v>4</v>
      </c>
      <c r="D12" s="21">
        <v>0.39931</v>
      </c>
      <c r="E12" s="21">
        <v>0.39929999999999999</v>
      </c>
      <c r="F12" s="21">
        <v>0.39931</v>
      </c>
      <c r="G12" s="21">
        <v>0.39933000000000002</v>
      </c>
      <c r="H12" s="21">
        <v>0.39933000000000002</v>
      </c>
      <c r="I12" s="96">
        <f t="shared" si="0"/>
        <v>0.399316</v>
      </c>
      <c r="J12" s="125"/>
      <c r="K12" s="89">
        <f t="shared" si="1"/>
        <v>0.33840338983050849</v>
      </c>
      <c r="L12" s="135"/>
      <c r="M12" s="90">
        <f t="shared" si="2"/>
        <v>0.96104933814681115</v>
      </c>
      <c r="N12" s="91">
        <f t="shared" si="3"/>
        <v>3.895066185318885E-2</v>
      </c>
      <c r="O12" s="119"/>
      <c r="P12" s="80"/>
      <c r="Q12" s="114"/>
      <c r="R12" s="80"/>
    </row>
    <row r="13" spans="2:18" ht="13.5" customHeight="1" thickBot="1" x14ac:dyDescent="0.25">
      <c r="B13" s="129"/>
      <c r="C13" s="40">
        <v>5</v>
      </c>
      <c r="D13" s="22">
        <v>0.39012999999999998</v>
      </c>
      <c r="E13" s="22">
        <v>0.39011000000000001</v>
      </c>
      <c r="F13" s="22">
        <v>0.39012999999999998</v>
      </c>
      <c r="G13" s="22">
        <v>0.39012999999999998</v>
      </c>
      <c r="H13" s="22">
        <v>0.39012999999999998</v>
      </c>
      <c r="I13" s="97">
        <f t="shared" si="0"/>
        <v>0.39012600000000008</v>
      </c>
      <c r="J13" s="126"/>
      <c r="K13" s="89">
        <f t="shared" si="1"/>
        <v>0.33061525423728821</v>
      </c>
      <c r="L13" s="136"/>
      <c r="M13" s="90">
        <f t="shared" si="2"/>
        <v>0.93893140794223862</v>
      </c>
      <c r="N13" s="91">
        <f t="shared" si="3"/>
        <v>6.1068592057761384E-2</v>
      </c>
      <c r="O13" s="120"/>
      <c r="P13" s="80"/>
      <c r="Q13" s="101"/>
      <c r="R13" s="80"/>
    </row>
    <row r="14" spans="2:18" ht="12.95" customHeight="1" x14ac:dyDescent="0.2">
      <c r="B14" s="127" t="s">
        <v>7</v>
      </c>
      <c r="C14" s="42">
        <v>1</v>
      </c>
      <c r="D14" s="23">
        <v>0.40282000000000001</v>
      </c>
      <c r="E14" s="23">
        <v>0.40283000000000002</v>
      </c>
      <c r="F14" s="23">
        <v>0.40283000000000002</v>
      </c>
      <c r="G14" s="23">
        <v>0.40282000000000001</v>
      </c>
      <c r="H14" s="23">
        <v>0.40282000000000001</v>
      </c>
      <c r="I14" s="96">
        <f t="shared" si="0"/>
        <v>0.40282400000000002</v>
      </c>
      <c r="J14" s="124">
        <f>AVERAGE(I14:I18)</f>
        <v>0.39851999999999999</v>
      </c>
      <c r="K14" s="89">
        <f t="shared" si="1"/>
        <v>0.34137627118644071</v>
      </c>
      <c r="L14" s="137">
        <f t="shared" ref="L14" si="6">AVERAGE(K14:K18)</f>
        <v>0.33772881355932211</v>
      </c>
      <c r="M14" s="90">
        <f t="shared" si="2"/>
        <v>0.96949217809867649</v>
      </c>
      <c r="N14" s="91">
        <f t="shared" si="3"/>
        <v>3.0507821901323506E-2</v>
      </c>
      <c r="O14" s="118">
        <f t="shared" ref="O14" si="7">AVERAGE(N14:N18)</f>
        <v>4.0866425992779606E-2</v>
      </c>
      <c r="P14" s="80"/>
      <c r="Q14" s="101"/>
      <c r="R14" s="80"/>
    </row>
    <row r="15" spans="2:18" ht="12.95" customHeight="1" x14ac:dyDescent="0.2">
      <c r="B15" s="128"/>
      <c r="C15" s="41">
        <v>2</v>
      </c>
      <c r="D15" s="21">
        <v>0.39977000000000001</v>
      </c>
      <c r="E15" s="21">
        <v>0.39977000000000001</v>
      </c>
      <c r="F15" s="21">
        <v>0.39976</v>
      </c>
      <c r="G15" s="21">
        <v>0.39977000000000001</v>
      </c>
      <c r="H15" s="21">
        <v>0.39977000000000001</v>
      </c>
      <c r="I15" s="96">
        <f t="shared" si="0"/>
        <v>0.39976800000000001</v>
      </c>
      <c r="J15" s="125"/>
      <c r="K15" s="89">
        <f t="shared" si="1"/>
        <v>0.33878644067796615</v>
      </c>
      <c r="L15" s="135"/>
      <c r="M15" s="90">
        <f t="shared" si="2"/>
        <v>0.96213718411552362</v>
      </c>
      <c r="N15" s="91">
        <f t="shared" si="3"/>
        <v>3.7862815884476375E-2</v>
      </c>
      <c r="O15" s="119"/>
      <c r="P15" s="80"/>
      <c r="Q15" s="101"/>
      <c r="R15" s="80"/>
    </row>
    <row r="16" spans="2:18" ht="13.5" customHeight="1" x14ac:dyDescent="0.2">
      <c r="B16" s="128"/>
      <c r="C16" s="41">
        <v>3</v>
      </c>
      <c r="D16" s="21">
        <v>0.40059</v>
      </c>
      <c r="E16" s="21">
        <v>0.40057999999999999</v>
      </c>
      <c r="F16" s="21">
        <v>0.40054000000000001</v>
      </c>
      <c r="G16" s="21">
        <v>0.40056000000000003</v>
      </c>
      <c r="H16" s="21">
        <v>0.40056000000000003</v>
      </c>
      <c r="I16" s="96">
        <f t="shared" si="0"/>
        <v>0.40056599999999998</v>
      </c>
      <c r="J16" s="125"/>
      <c r="K16" s="89">
        <f t="shared" si="1"/>
        <v>0.3394627118644068</v>
      </c>
      <c r="L16" s="135"/>
      <c r="M16" s="90">
        <f t="shared" si="2"/>
        <v>0.96405776173285207</v>
      </c>
      <c r="N16" s="91">
        <f t="shared" si="3"/>
        <v>3.594223826714793E-2</v>
      </c>
      <c r="O16" s="119"/>
      <c r="P16" s="80"/>
      <c r="Q16" s="80"/>
      <c r="R16" s="80"/>
    </row>
    <row r="17" spans="2:19" ht="12.95" customHeight="1" x14ac:dyDescent="0.2">
      <c r="B17" s="128"/>
      <c r="C17" s="41">
        <v>4</v>
      </c>
      <c r="D17" s="21">
        <v>0.39931</v>
      </c>
      <c r="E17" s="21">
        <v>0.39929999999999999</v>
      </c>
      <c r="F17" s="21">
        <v>0.39931</v>
      </c>
      <c r="G17" s="21">
        <v>0.39933000000000002</v>
      </c>
      <c r="H17" s="21">
        <v>0.39933000000000002</v>
      </c>
      <c r="I17" s="96">
        <f t="shared" si="0"/>
        <v>0.399316</v>
      </c>
      <c r="J17" s="125"/>
      <c r="K17" s="89">
        <f t="shared" si="1"/>
        <v>0.33840338983050849</v>
      </c>
      <c r="L17" s="135"/>
      <c r="M17" s="90">
        <f t="shared" si="2"/>
        <v>0.96104933814681115</v>
      </c>
      <c r="N17" s="91">
        <f t="shared" si="3"/>
        <v>3.895066185318885E-2</v>
      </c>
      <c r="O17" s="119"/>
      <c r="P17" s="80"/>
      <c r="Q17" s="80"/>
      <c r="R17" s="80"/>
    </row>
    <row r="18" spans="2:19" ht="13.5" customHeight="1" thickBot="1" x14ac:dyDescent="0.25">
      <c r="B18" s="129"/>
      <c r="C18" s="40">
        <v>5</v>
      </c>
      <c r="D18" s="22">
        <v>0.39012999999999998</v>
      </c>
      <c r="E18" s="22">
        <v>0.39011000000000001</v>
      </c>
      <c r="F18" s="22">
        <v>0.39012999999999998</v>
      </c>
      <c r="G18" s="22">
        <v>0.39012999999999998</v>
      </c>
      <c r="H18" s="22">
        <v>0.39012999999999998</v>
      </c>
      <c r="I18" s="97">
        <f t="shared" si="0"/>
        <v>0.39012600000000008</v>
      </c>
      <c r="J18" s="126"/>
      <c r="K18" s="89">
        <f t="shared" si="1"/>
        <v>0.33061525423728821</v>
      </c>
      <c r="L18" s="136"/>
      <c r="M18" s="90">
        <f t="shared" si="2"/>
        <v>0.93893140794223862</v>
      </c>
      <c r="N18" s="91">
        <f t="shared" si="3"/>
        <v>6.1068592057761384E-2</v>
      </c>
      <c r="O18" s="120"/>
      <c r="P18" s="80"/>
      <c r="Q18" s="80"/>
      <c r="R18" s="80"/>
    </row>
    <row r="19" spans="2:19" ht="12.95" customHeight="1" x14ac:dyDescent="0.2">
      <c r="B19" s="127" t="s">
        <v>8</v>
      </c>
      <c r="C19" s="42">
        <v>1</v>
      </c>
      <c r="D19" s="23">
        <v>0.40566999999999998</v>
      </c>
      <c r="E19" s="23">
        <v>0.40566000000000002</v>
      </c>
      <c r="F19" s="23">
        <v>0.40566999999999998</v>
      </c>
      <c r="G19" s="23">
        <v>0.40566000000000002</v>
      </c>
      <c r="H19" s="23">
        <v>0.40567999999999999</v>
      </c>
      <c r="I19" s="96">
        <f t="shared" si="0"/>
        <v>0.40566800000000003</v>
      </c>
      <c r="J19" s="124">
        <f>AVERAGE(I19:I23)</f>
        <v>0.40730400000000005</v>
      </c>
      <c r="K19" s="89">
        <f t="shared" si="1"/>
        <v>0.34378644067796615</v>
      </c>
      <c r="L19" s="137">
        <f t="shared" ref="L19" si="8">AVERAGE(K19:K23)</f>
        <v>0.34517288135593222</v>
      </c>
      <c r="M19" s="90">
        <f t="shared" si="2"/>
        <v>0.9763369434416368</v>
      </c>
      <c r="N19" s="91">
        <f t="shared" si="3"/>
        <v>2.3663056558363205E-2</v>
      </c>
      <c r="O19" s="118">
        <f t="shared" ref="O19" si="9">AVERAGE(N19:N23)</f>
        <v>1.9725631768952877E-2</v>
      </c>
      <c r="P19" s="80"/>
      <c r="Q19" s="80"/>
      <c r="R19" s="80"/>
    </row>
    <row r="20" spans="2:19" ht="12.95" customHeight="1" x14ac:dyDescent="0.2">
      <c r="B20" s="128"/>
      <c r="C20" s="41">
        <v>2</v>
      </c>
      <c r="D20" s="50">
        <v>0.40675</v>
      </c>
      <c r="E20" s="50">
        <v>0.40676000000000001</v>
      </c>
      <c r="F20" s="50">
        <v>0.40677000000000002</v>
      </c>
      <c r="G20" s="50">
        <v>0.40677000000000002</v>
      </c>
      <c r="H20" s="50">
        <v>0.40673999999999999</v>
      </c>
      <c r="I20" s="96">
        <f t="shared" si="0"/>
        <v>0.40675800000000006</v>
      </c>
      <c r="J20" s="125"/>
      <c r="K20" s="89">
        <f t="shared" si="1"/>
        <v>0.3447101694915255</v>
      </c>
      <c r="L20" s="135"/>
      <c r="M20" s="90">
        <f t="shared" si="2"/>
        <v>0.97896028880866459</v>
      </c>
      <c r="N20" s="91">
        <f t="shared" si="3"/>
        <v>2.1039711191335408E-2</v>
      </c>
      <c r="O20" s="119"/>
      <c r="P20" s="80"/>
      <c r="Q20" s="80"/>
      <c r="R20" s="80"/>
    </row>
    <row r="21" spans="2:19" ht="13.5" customHeight="1" x14ac:dyDescent="0.2">
      <c r="B21" s="128"/>
      <c r="C21" s="41">
        <v>3</v>
      </c>
      <c r="D21" s="21">
        <v>0.40733999999999998</v>
      </c>
      <c r="E21" s="21">
        <v>0.40733999999999998</v>
      </c>
      <c r="F21" s="21">
        <v>0.40732000000000002</v>
      </c>
      <c r="G21" s="21">
        <v>0.40732000000000002</v>
      </c>
      <c r="H21" s="21">
        <v>0.40732000000000002</v>
      </c>
      <c r="I21" s="96">
        <f t="shared" si="0"/>
        <v>0.40732799999999997</v>
      </c>
      <c r="J21" s="125"/>
      <c r="K21" s="89">
        <f t="shared" si="1"/>
        <v>0.34519322033898303</v>
      </c>
      <c r="L21" s="135"/>
      <c r="M21" s="90">
        <f t="shared" si="2"/>
        <v>0.98033212996389896</v>
      </c>
      <c r="N21" s="91">
        <f t="shared" si="3"/>
        <v>1.9667870036101043E-2</v>
      </c>
      <c r="O21" s="119"/>
      <c r="P21" s="80"/>
      <c r="Q21" s="80"/>
      <c r="R21" s="80"/>
    </row>
    <row r="22" spans="2:19" ht="12.95" customHeight="1" x14ac:dyDescent="0.2">
      <c r="B22" s="128"/>
      <c r="C22" s="41">
        <v>4</v>
      </c>
      <c r="D22" s="21">
        <v>0.40720000000000001</v>
      </c>
      <c r="E22" s="21">
        <v>0.40722000000000003</v>
      </c>
      <c r="F22" s="21">
        <v>0.40720000000000001</v>
      </c>
      <c r="G22" s="21">
        <v>0.40720000000000001</v>
      </c>
      <c r="H22" s="21">
        <v>0.40720000000000001</v>
      </c>
      <c r="I22" s="96">
        <f t="shared" si="0"/>
        <v>0.40720400000000001</v>
      </c>
      <c r="J22" s="125"/>
      <c r="K22" s="89">
        <f t="shared" si="1"/>
        <v>0.34508813559322038</v>
      </c>
      <c r="L22" s="135"/>
      <c r="M22" s="90">
        <f t="shared" si="2"/>
        <v>0.98003369434416387</v>
      </c>
      <c r="N22" s="91">
        <f t="shared" si="3"/>
        <v>1.9966305655836125E-2</v>
      </c>
      <c r="O22" s="119"/>
      <c r="P22" s="80"/>
      <c r="Q22" s="80"/>
      <c r="R22" s="80"/>
    </row>
    <row r="23" spans="2:19" ht="13.5" customHeight="1" thickBot="1" x14ac:dyDescent="0.25">
      <c r="B23" s="129"/>
      <c r="C23" s="40">
        <v>5</v>
      </c>
      <c r="D23" s="22">
        <v>0.40956999999999999</v>
      </c>
      <c r="E23" s="22">
        <v>0.40956999999999999</v>
      </c>
      <c r="F23" s="22">
        <v>0.40956999999999999</v>
      </c>
      <c r="G23" s="22">
        <v>0.40955000000000003</v>
      </c>
      <c r="H23" s="22">
        <v>0.40955000000000003</v>
      </c>
      <c r="I23" s="97">
        <f t="shared" si="0"/>
        <v>0.40956200000000004</v>
      </c>
      <c r="J23" s="126"/>
      <c r="K23" s="89">
        <f t="shared" si="1"/>
        <v>0.34708644067796612</v>
      </c>
      <c r="L23" s="136"/>
      <c r="M23" s="90">
        <f t="shared" si="2"/>
        <v>0.98570878459687139</v>
      </c>
      <c r="N23" s="91">
        <f t="shared" si="3"/>
        <v>1.429121540312861E-2</v>
      </c>
      <c r="O23" s="120"/>
      <c r="P23" s="80"/>
      <c r="Q23" s="80"/>
      <c r="R23" s="80"/>
    </row>
    <row r="24" spans="2:19" ht="12.95" customHeight="1" x14ac:dyDescent="0.2">
      <c r="B24" s="127" t="s">
        <v>9</v>
      </c>
      <c r="C24" s="42">
        <v>1</v>
      </c>
      <c r="D24" s="23">
        <v>0.40494000000000002</v>
      </c>
      <c r="E24" s="23">
        <v>0.40493000000000001</v>
      </c>
      <c r="F24" s="23">
        <v>0.40490999999999999</v>
      </c>
      <c r="G24" s="23">
        <v>0.40493000000000001</v>
      </c>
      <c r="H24" s="23">
        <v>0.40493000000000001</v>
      </c>
      <c r="I24" s="96">
        <f t="shared" si="0"/>
        <v>0.40492800000000007</v>
      </c>
      <c r="J24" s="124">
        <f>AVERAGE(I24:I28)</f>
        <v>0.40413519999999997</v>
      </c>
      <c r="K24" s="89">
        <f t="shared" si="1"/>
        <v>0.34315932203389837</v>
      </c>
      <c r="L24" s="137">
        <f>AVERAGE(K24:K28)</f>
        <v>0.34248745762711863</v>
      </c>
      <c r="M24" s="90">
        <f t="shared" si="2"/>
        <v>0.97455595667870065</v>
      </c>
      <c r="N24" s="91">
        <f t="shared" si="3"/>
        <v>2.5444043321299348E-2</v>
      </c>
      <c r="O24" s="118">
        <f t="shared" ref="O24" si="10">AVERAGE(N24:N28)</f>
        <v>2.7352105896510069E-2</v>
      </c>
      <c r="P24" s="80"/>
      <c r="Q24" s="80"/>
      <c r="R24" s="80"/>
    </row>
    <row r="25" spans="2:19" ht="12.95" customHeight="1" x14ac:dyDescent="0.2">
      <c r="B25" s="128"/>
      <c r="C25" s="41">
        <v>2</v>
      </c>
      <c r="D25" s="21">
        <v>0.40245999999999998</v>
      </c>
      <c r="E25" s="21">
        <v>0.40248</v>
      </c>
      <c r="F25" s="21">
        <v>0.40249000000000001</v>
      </c>
      <c r="G25" s="21">
        <v>0.40246999999999999</v>
      </c>
      <c r="H25" s="21">
        <v>0.40249000000000001</v>
      </c>
      <c r="I25" s="96">
        <f t="shared" si="0"/>
        <v>0.402478</v>
      </c>
      <c r="J25" s="125"/>
      <c r="K25" s="89">
        <f t="shared" si="1"/>
        <v>0.34108305084745766</v>
      </c>
      <c r="L25" s="135"/>
      <c r="M25" s="90">
        <f t="shared" si="2"/>
        <v>0.9686594464500603</v>
      </c>
      <c r="N25" s="91">
        <f t="shared" si="3"/>
        <v>3.1340553549939698E-2</v>
      </c>
      <c r="O25" s="119"/>
      <c r="P25" s="80"/>
      <c r="Q25" s="80"/>
      <c r="R25" s="80"/>
    </row>
    <row r="26" spans="2:19" ht="13.5" customHeight="1" x14ac:dyDescent="0.2">
      <c r="B26" s="128"/>
      <c r="C26" s="41">
        <v>3</v>
      </c>
      <c r="D26" s="21">
        <v>0.40629999999999999</v>
      </c>
      <c r="E26" s="21">
        <v>0.40631</v>
      </c>
      <c r="F26" s="21">
        <v>0.40629999999999999</v>
      </c>
      <c r="G26" s="21">
        <v>0.40631</v>
      </c>
      <c r="H26" s="21">
        <v>0.40628999999999998</v>
      </c>
      <c r="I26" s="96">
        <f t="shared" si="0"/>
        <v>0.406302</v>
      </c>
      <c r="J26" s="125"/>
      <c r="K26" s="89">
        <f t="shared" si="1"/>
        <v>0.34432372881355933</v>
      </c>
      <c r="L26" s="135"/>
      <c r="M26" s="90">
        <f t="shared" si="2"/>
        <v>0.97786281588447665</v>
      </c>
      <c r="N26" s="91">
        <f t="shared" si="3"/>
        <v>2.2137184115523345E-2</v>
      </c>
      <c r="O26" s="119"/>
      <c r="P26" s="80"/>
      <c r="Q26" s="80"/>
      <c r="R26" s="80"/>
    </row>
    <row r="27" spans="2:19" ht="12.95" customHeight="1" x14ac:dyDescent="0.2">
      <c r="B27" s="128"/>
      <c r="C27" s="41">
        <v>4</v>
      </c>
      <c r="D27" s="21">
        <v>0.40344999999999998</v>
      </c>
      <c r="E27" s="21">
        <v>0.40343000000000001</v>
      </c>
      <c r="F27" s="21">
        <v>0.40344999999999998</v>
      </c>
      <c r="G27" s="21">
        <v>0.40344000000000002</v>
      </c>
      <c r="H27" s="21">
        <v>0.40344999999999998</v>
      </c>
      <c r="I27" s="96">
        <f t="shared" si="0"/>
        <v>0.40344400000000002</v>
      </c>
      <c r="J27" s="125"/>
      <c r="K27" s="89">
        <f t="shared" si="1"/>
        <v>0.3419016949152543</v>
      </c>
      <c r="L27" s="135"/>
      <c r="M27" s="90">
        <f t="shared" si="2"/>
        <v>0.97098435619735279</v>
      </c>
      <c r="N27" s="91">
        <f t="shared" si="3"/>
        <v>2.9015643802647206E-2</v>
      </c>
      <c r="O27" s="119"/>
      <c r="P27" s="80"/>
      <c r="Q27" s="80"/>
      <c r="R27" s="80"/>
    </row>
    <row r="28" spans="2:19" ht="13.5" customHeight="1" thickBot="1" x14ac:dyDescent="0.25">
      <c r="B28" s="129"/>
      <c r="C28" s="40">
        <v>5</v>
      </c>
      <c r="D28" s="22">
        <v>0.40353</v>
      </c>
      <c r="E28" s="22">
        <v>0.40350999999999998</v>
      </c>
      <c r="F28" s="22">
        <v>0.40353</v>
      </c>
      <c r="G28" s="22">
        <v>0.40350999999999998</v>
      </c>
      <c r="H28" s="22">
        <v>0.40354000000000001</v>
      </c>
      <c r="I28" s="97">
        <f t="shared" si="0"/>
        <v>0.40352399999999999</v>
      </c>
      <c r="J28" s="126"/>
      <c r="K28" s="89">
        <f t="shared" si="1"/>
        <v>0.34196949152542372</v>
      </c>
      <c r="L28" s="136"/>
      <c r="M28" s="90">
        <f t="shared" si="2"/>
        <v>0.97117689530685924</v>
      </c>
      <c r="N28" s="91">
        <f t="shared" si="3"/>
        <v>2.8823104693140755E-2</v>
      </c>
      <c r="O28" s="120"/>
      <c r="P28" s="80"/>
      <c r="Q28" s="80"/>
      <c r="R28" s="80"/>
    </row>
    <row r="29" spans="2:19" ht="13.5" hidden="1" customHeight="1" thickBot="1" x14ac:dyDescent="0.25">
      <c r="B29" s="131" t="s">
        <v>10</v>
      </c>
      <c r="C29" s="76">
        <v>1</v>
      </c>
      <c r="D29" s="76">
        <v>0.37159999999999999</v>
      </c>
      <c r="E29" s="76">
        <v>0.37158999999999998</v>
      </c>
      <c r="F29" s="76">
        <v>0.37161</v>
      </c>
      <c r="G29" s="76">
        <v>0.37161</v>
      </c>
      <c r="H29" s="76">
        <v>0.37162000000000001</v>
      </c>
      <c r="I29" s="96">
        <f t="shared" si="0"/>
        <v>0.37160599999999999</v>
      </c>
      <c r="J29" s="138">
        <f>AVERAGE(I29:I33)</f>
        <v>0.37189120000000003</v>
      </c>
      <c r="K29" s="89">
        <f t="shared" si="1"/>
        <v>0.31492033898305088</v>
      </c>
      <c r="L29" s="134">
        <f>AVERAGE(K29:K33)</f>
        <v>0.31516203389830511</v>
      </c>
      <c r="M29" s="90">
        <f t="shared" si="2"/>
        <v>0.89435860409145629</v>
      </c>
      <c r="N29" s="92">
        <f t="shared" si="3"/>
        <v>0.10564139590854371</v>
      </c>
      <c r="O29" s="115">
        <f t="shared" ref="O29" si="11">AVERAGE(N29:N33)</f>
        <v>0.10495499398315271</v>
      </c>
      <c r="P29" s="80"/>
      <c r="Q29" s="80"/>
      <c r="R29" s="80"/>
      <c r="S29" s="77"/>
    </row>
    <row r="30" spans="2:19" ht="13.5" hidden="1" customHeight="1" thickBot="1" x14ac:dyDescent="0.25">
      <c r="B30" s="132"/>
      <c r="C30" s="24">
        <v>2</v>
      </c>
      <c r="D30" s="24">
        <v>0.37164000000000003</v>
      </c>
      <c r="E30" s="24">
        <v>0.37163000000000002</v>
      </c>
      <c r="F30" s="24">
        <v>0.37164999999999998</v>
      </c>
      <c r="G30" s="24">
        <v>0.37164000000000003</v>
      </c>
      <c r="H30" s="24">
        <v>0.37164000000000003</v>
      </c>
      <c r="I30" s="96">
        <f t="shared" si="0"/>
        <v>0.37164000000000003</v>
      </c>
      <c r="J30" s="139"/>
      <c r="K30" s="89">
        <f t="shared" si="1"/>
        <v>0.31494915254237293</v>
      </c>
      <c r="L30" s="135"/>
      <c r="M30" s="90">
        <f t="shared" si="2"/>
        <v>0.8944404332129966</v>
      </c>
      <c r="N30" s="92">
        <f t="shared" si="3"/>
        <v>0.1055595667870034</v>
      </c>
      <c r="O30" s="116"/>
      <c r="P30" s="80"/>
      <c r="Q30" s="80"/>
      <c r="R30" s="80"/>
      <c r="S30" s="77"/>
    </row>
    <row r="31" spans="2:19" ht="13.5" hidden="1" customHeight="1" thickBot="1" x14ac:dyDescent="0.25">
      <c r="B31" s="132"/>
      <c r="C31" s="24">
        <v>3</v>
      </c>
      <c r="D31" s="24">
        <v>0.37097999999999998</v>
      </c>
      <c r="E31" s="24">
        <v>0.37097000000000002</v>
      </c>
      <c r="F31" s="24">
        <v>0.37097000000000002</v>
      </c>
      <c r="G31" s="24">
        <v>0.37097999999999998</v>
      </c>
      <c r="H31" s="24">
        <v>0.37096000000000001</v>
      </c>
      <c r="I31" s="96">
        <f t="shared" si="0"/>
        <v>0.37097199999999997</v>
      </c>
      <c r="J31" s="139"/>
      <c r="K31" s="89">
        <f t="shared" si="1"/>
        <v>0.3143830508474576</v>
      </c>
      <c r="L31" s="135"/>
      <c r="M31" s="90">
        <f t="shared" si="2"/>
        <v>0.8928327316486161</v>
      </c>
      <c r="N31" s="92">
        <f t="shared" si="3"/>
        <v>0.1071672683513839</v>
      </c>
      <c r="O31" s="116"/>
      <c r="P31" s="80"/>
      <c r="Q31" s="80"/>
      <c r="R31" s="80"/>
      <c r="S31" s="77"/>
    </row>
    <row r="32" spans="2:19" ht="13.5" hidden="1" customHeight="1" thickBot="1" x14ac:dyDescent="0.25">
      <c r="B32" s="132"/>
      <c r="C32" s="24">
        <v>4</v>
      </c>
      <c r="D32" s="24">
        <v>0.37279000000000001</v>
      </c>
      <c r="E32" s="24">
        <v>0.37279000000000001</v>
      </c>
      <c r="F32" s="24">
        <v>0.37280000000000002</v>
      </c>
      <c r="G32" s="24">
        <v>0.37279000000000001</v>
      </c>
      <c r="H32" s="24">
        <v>0.37280000000000002</v>
      </c>
      <c r="I32" s="96">
        <f t="shared" si="0"/>
        <v>0.37279400000000001</v>
      </c>
      <c r="J32" s="139"/>
      <c r="K32" s="89">
        <f t="shared" si="1"/>
        <v>0.31592711864406781</v>
      </c>
      <c r="L32" s="135"/>
      <c r="M32" s="90">
        <f t="shared" si="2"/>
        <v>0.89721780986762945</v>
      </c>
      <c r="N32" s="92">
        <f t="shared" si="3"/>
        <v>0.10278219013237055</v>
      </c>
      <c r="O32" s="116"/>
      <c r="P32" s="80"/>
      <c r="Q32" s="80"/>
      <c r="R32" s="80"/>
      <c r="S32" s="77"/>
    </row>
    <row r="33" spans="2:19" ht="13.5" hidden="1" customHeight="1" thickBot="1" x14ac:dyDescent="0.25">
      <c r="B33" s="133"/>
      <c r="C33" s="78">
        <v>5</v>
      </c>
      <c r="D33" s="78">
        <v>0.37245</v>
      </c>
      <c r="E33" s="78">
        <v>0.37243999999999999</v>
      </c>
      <c r="F33" s="78">
        <v>0.37243999999999999</v>
      </c>
      <c r="G33" s="78">
        <v>0.37243999999999999</v>
      </c>
      <c r="H33" s="78">
        <v>0.37245</v>
      </c>
      <c r="I33" s="97">
        <f t="shared" si="0"/>
        <v>0.372444</v>
      </c>
      <c r="J33" s="140"/>
      <c r="K33" s="89">
        <f t="shared" si="1"/>
        <v>0.3156305084745763</v>
      </c>
      <c r="L33" s="141"/>
      <c r="M33" s="90">
        <f t="shared" si="2"/>
        <v>0.89637545126353801</v>
      </c>
      <c r="N33" s="92">
        <f t="shared" si="3"/>
        <v>0.10362454873646199</v>
      </c>
      <c r="O33" s="117"/>
      <c r="P33" s="80"/>
      <c r="Q33" s="80"/>
      <c r="R33" s="80"/>
      <c r="S33" s="77"/>
    </row>
    <row r="34" spans="2:19" ht="12.95" customHeight="1" x14ac:dyDescent="0.2">
      <c r="B34" s="127" t="s">
        <v>11</v>
      </c>
      <c r="C34" s="42">
        <v>1</v>
      </c>
      <c r="D34" s="23">
        <v>0.40792</v>
      </c>
      <c r="E34" s="23">
        <v>0.40790999999999999</v>
      </c>
      <c r="F34" s="23">
        <v>0.40792</v>
      </c>
      <c r="G34" s="23">
        <v>0.40793000000000001</v>
      </c>
      <c r="H34" s="23">
        <v>0.40792</v>
      </c>
      <c r="I34" s="96">
        <f t="shared" si="0"/>
        <v>0.40792</v>
      </c>
      <c r="J34" s="124">
        <f>AVERAGE(I34:I38)</f>
        <v>0.41264240000000002</v>
      </c>
      <c r="K34" s="89">
        <f t="shared" si="1"/>
        <v>0.34569491525423729</v>
      </c>
      <c r="L34" s="137">
        <f t="shared" ref="L34" si="12">AVERAGE(K34:K38)</f>
        <v>0.3496969491525424</v>
      </c>
      <c r="M34" s="90">
        <f t="shared" si="2"/>
        <v>0.98175691937424803</v>
      </c>
      <c r="N34" s="91">
        <f t="shared" si="3"/>
        <v>1.8243080625751973E-2</v>
      </c>
      <c r="O34" s="118">
        <f t="shared" ref="O34" si="13">AVERAGE(N34:N38)</f>
        <v>6.8774969915762259E-3</v>
      </c>
      <c r="P34" s="80"/>
      <c r="Q34" s="80"/>
      <c r="R34" s="80"/>
    </row>
    <row r="35" spans="2:19" ht="12.95" customHeight="1" x14ac:dyDescent="0.2">
      <c r="B35" s="128"/>
      <c r="C35" s="41">
        <v>2</v>
      </c>
      <c r="D35" s="21">
        <v>0.41549999999999998</v>
      </c>
      <c r="E35" s="21">
        <v>0.41549000000000003</v>
      </c>
      <c r="F35" s="21">
        <v>0.41550999999999999</v>
      </c>
      <c r="G35" s="21">
        <v>0.41549999999999998</v>
      </c>
      <c r="H35" s="21">
        <v>0.41549999999999998</v>
      </c>
      <c r="I35" s="96">
        <f t="shared" si="0"/>
        <v>0.41549999999999992</v>
      </c>
      <c r="J35" s="125"/>
      <c r="K35" s="89">
        <f t="shared" si="1"/>
        <v>0.35211864406779658</v>
      </c>
      <c r="L35" s="135"/>
      <c r="M35" s="90">
        <f t="shared" si="2"/>
        <v>1</v>
      </c>
      <c r="N35" s="91">
        <f t="shared" si="3"/>
        <v>0</v>
      </c>
      <c r="O35" s="119"/>
      <c r="P35" s="80"/>
      <c r="Q35" s="80"/>
      <c r="R35" s="80"/>
    </row>
    <row r="36" spans="2:19" ht="13.5" customHeight="1" x14ac:dyDescent="0.2">
      <c r="B36" s="128"/>
      <c r="C36" s="41">
        <v>3</v>
      </c>
      <c r="D36" s="21">
        <v>0.41360999999999998</v>
      </c>
      <c r="E36" s="21">
        <v>0.41358</v>
      </c>
      <c r="F36" s="21">
        <v>0.41361999999999999</v>
      </c>
      <c r="G36" s="21">
        <v>0.41360999999999998</v>
      </c>
      <c r="H36" s="21">
        <v>0.41360000000000002</v>
      </c>
      <c r="I36" s="96">
        <f t="shared" si="0"/>
        <v>0.41360400000000003</v>
      </c>
      <c r="J36" s="125"/>
      <c r="K36" s="89">
        <f t="shared" si="1"/>
        <v>0.35051186440677973</v>
      </c>
      <c r="L36" s="135"/>
      <c r="M36" s="90">
        <f t="shared" si="2"/>
        <v>0.99543682310469339</v>
      </c>
      <c r="N36" s="91">
        <f t="shared" si="3"/>
        <v>4.5631768953066087E-3</v>
      </c>
      <c r="O36" s="119"/>
      <c r="P36" s="80"/>
      <c r="Q36" s="80"/>
      <c r="R36" s="80"/>
    </row>
    <row r="37" spans="2:19" ht="12.95" customHeight="1" x14ac:dyDescent="0.2">
      <c r="B37" s="128"/>
      <c r="C37" s="41">
        <v>4</v>
      </c>
      <c r="D37" s="21">
        <v>0.41338000000000003</v>
      </c>
      <c r="E37" s="21">
        <v>0.41337000000000002</v>
      </c>
      <c r="F37" s="21">
        <v>0.41336000000000001</v>
      </c>
      <c r="G37" s="21">
        <v>0.41336000000000001</v>
      </c>
      <c r="H37" s="21">
        <v>0.41338000000000003</v>
      </c>
      <c r="I37" s="96">
        <f t="shared" si="0"/>
        <v>0.41337000000000002</v>
      </c>
      <c r="J37" s="125"/>
      <c r="K37" s="89">
        <f t="shared" si="1"/>
        <v>0.35031355932203395</v>
      </c>
      <c r="L37" s="135"/>
      <c r="M37" s="90">
        <f t="shared" si="2"/>
        <v>0.99487364620938656</v>
      </c>
      <c r="N37" s="91">
        <f t="shared" si="3"/>
        <v>5.126353790613436E-3</v>
      </c>
      <c r="O37" s="119"/>
      <c r="P37" s="80"/>
      <c r="Q37" s="80"/>
      <c r="R37" s="80"/>
    </row>
    <row r="38" spans="2:19" ht="13.5" customHeight="1" thickBot="1" x14ac:dyDescent="0.25">
      <c r="B38" s="129"/>
      <c r="C38" s="40">
        <v>5</v>
      </c>
      <c r="D38" s="22">
        <v>0.41282000000000002</v>
      </c>
      <c r="E38" s="22">
        <v>0.41282000000000002</v>
      </c>
      <c r="F38" s="22">
        <v>0.41281000000000001</v>
      </c>
      <c r="G38" s="22">
        <v>0.41282999999999997</v>
      </c>
      <c r="H38" s="22">
        <v>0.41281000000000001</v>
      </c>
      <c r="I38" s="97">
        <f t="shared" si="0"/>
        <v>0.41281800000000002</v>
      </c>
      <c r="J38" s="126"/>
      <c r="K38" s="89">
        <f t="shared" si="1"/>
        <v>0.34984576271186446</v>
      </c>
      <c r="L38" s="136"/>
      <c r="M38" s="90">
        <f t="shared" si="2"/>
        <v>0.99354512635379089</v>
      </c>
      <c r="N38" s="91">
        <f t="shared" si="3"/>
        <v>6.4548736462091139E-3</v>
      </c>
      <c r="O38" s="120"/>
      <c r="P38" s="80"/>
      <c r="Q38" s="80"/>
      <c r="R38" s="80"/>
    </row>
    <row r="39" spans="2:19" ht="12.95" customHeight="1" x14ac:dyDescent="0.2">
      <c r="B39" s="127" t="s">
        <v>12</v>
      </c>
      <c r="C39" s="42">
        <v>1</v>
      </c>
      <c r="D39" s="23">
        <v>0.40411000000000002</v>
      </c>
      <c r="E39" s="23">
        <v>0.40411000000000002</v>
      </c>
      <c r="F39" s="23">
        <v>0.40411000000000002</v>
      </c>
      <c r="G39" s="23">
        <v>0.40410000000000001</v>
      </c>
      <c r="H39" s="23">
        <v>0.40411999999999998</v>
      </c>
      <c r="I39" s="96">
        <f t="shared" si="0"/>
        <v>0.40411000000000002</v>
      </c>
      <c r="J39" s="124">
        <f>AVERAGE(I39:I43)</f>
        <v>0.40339600000000003</v>
      </c>
      <c r="K39" s="89">
        <f t="shared" si="1"/>
        <v>0.34246610169491531</v>
      </c>
      <c r="L39" s="137">
        <f t="shared" ref="L39" si="14">AVERAGE(K39:K43)</f>
        <v>0.34186101694915255</v>
      </c>
      <c r="M39" s="90">
        <f t="shared" si="2"/>
        <v>0.97258724428399546</v>
      </c>
      <c r="N39" s="91">
        <f t="shared" si="3"/>
        <v>2.7412755716004544E-2</v>
      </c>
      <c r="O39" s="118">
        <f t="shared" ref="O39" si="15">AVERAGE(N39:N43)</f>
        <v>2.9131167268351278E-2</v>
      </c>
    </row>
    <row r="40" spans="2:19" ht="12.95" customHeight="1" x14ac:dyDescent="0.2">
      <c r="B40" s="128"/>
      <c r="C40" s="41">
        <v>2</v>
      </c>
      <c r="D40" s="21">
        <v>0.40295999999999998</v>
      </c>
      <c r="E40" s="21">
        <v>0.40296999999999999</v>
      </c>
      <c r="F40" s="21">
        <v>0.40294999999999997</v>
      </c>
      <c r="G40" s="21">
        <v>0.40295999999999998</v>
      </c>
      <c r="H40" s="21">
        <v>0.40294000000000002</v>
      </c>
      <c r="I40" s="96">
        <f t="shared" si="0"/>
        <v>0.40295599999999998</v>
      </c>
      <c r="J40" s="125"/>
      <c r="K40" s="89">
        <f t="shared" si="1"/>
        <v>0.34148813559322033</v>
      </c>
      <c r="L40" s="135"/>
      <c r="M40" s="90">
        <f t="shared" si="2"/>
        <v>0.96980986762936228</v>
      </c>
      <c r="N40" s="91">
        <f t="shared" si="3"/>
        <v>3.0190132370637723E-2</v>
      </c>
      <c r="O40" s="119"/>
      <c r="P40" s="80"/>
      <c r="Q40" s="80"/>
      <c r="R40" s="80"/>
    </row>
    <row r="41" spans="2:19" ht="13.5" customHeight="1" x14ac:dyDescent="0.2">
      <c r="B41" s="128"/>
      <c r="C41" s="41">
        <v>3</v>
      </c>
      <c r="D41" s="21">
        <v>0.40303</v>
      </c>
      <c r="E41" s="21">
        <v>0.40300999999999998</v>
      </c>
      <c r="F41" s="21">
        <v>0.40300999999999998</v>
      </c>
      <c r="G41" s="21">
        <v>0.40301999999999999</v>
      </c>
      <c r="H41" s="21">
        <v>0.40301999999999999</v>
      </c>
      <c r="I41" s="96">
        <f t="shared" si="0"/>
        <v>0.40301799999999999</v>
      </c>
      <c r="J41" s="125"/>
      <c r="K41" s="89">
        <f t="shared" si="1"/>
        <v>0.34154067796610171</v>
      </c>
      <c r="L41" s="135"/>
      <c r="M41" s="90">
        <f t="shared" si="2"/>
        <v>0.96995908543922993</v>
      </c>
      <c r="N41" s="91">
        <f t="shared" si="3"/>
        <v>3.0040914560770071E-2</v>
      </c>
      <c r="O41" s="119"/>
      <c r="P41" s="80"/>
      <c r="Q41" s="80"/>
      <c r="R41" s="80"/>
    </row>
    <row r="42" spans="2:19" ht="12.95" customHeight="1" x14ac:dyDescent="0.2">
      <c r="B42" s="128"/>
      <c r="C42" s="41">
        <v>4</v>
      </c>
      <c r="D42" s="21">
        <v>0.40388000000000002</v>
      </c>
      <c r="E42" s="21">
        <v>0.40389000000000003</v>
      </c>
      <c r="F42" s="21">
        <v>0.40386</v>
      </c>
      <c r="G42" s="21">
        <v>0.40388000000000002</v>
      </c>
      <c r="H42" s="21">
        <v>0.40386</v>
      </c>
      <c r="I42" s="96">
        <f t="shared" si="0"/>
        <v>0.40387399999999996</v>
      </c>
      <c r="J42" s="125"/>
      <c r="K42" s="89">
        <f t="shared" si="1"/>
        <v>0.34226610169491523</v>
      </c>
      <c r="L42" s="135"/>
      <c r="M42" s="90">
        <f t="shared" si="2"/>
        <v>0.97201925391095068</v>
      </c>
      <c r="N42" s="91">
        <f t="shared" si="3"/>
        <v>2.7980746089049324E-2</v>
      </c>
      <c r="O42" s="119"/>
      <c r="P42" s="80"/>
      <c r="Q42" s="80"/>
      <c r="R42" s="80"/>
    </row>
    <row r="43" spans="2:19" ht="13.5" customHeight="1" thickBot="1" x14ac:dyDescent="0.25">
      <c r="B43" s="129"/>
      <c r="C43" s="40">
        <v>5</v>
      </c>
      <c r="D43" s="22">
        <v>0.40300999999999998</v>
      </c>
      <c r="E43" s="22">
        <v>0.40303</v>
      </c>
      <c r="F43" s="22">
        <v>0.40301999999999999</v>
      </c>
      <c r="G43" s="22">
        <v>0.40300999999999998</v>
      </c>
      <c r="H43" s="22">
        <v>0.40304000000000001</v>
      </c>
      <c r="I43" s="97">
        <f t="shared" si="0"/>
        <v>0.40302199999999999</v>
      </c>
      <c r="J43" s="126"/>
      <c r="K43" s="89">
        <f t="shared" si="1"/>
        <v>0.34154406779661017</v>
      </c>
      <c r="L43" s="136"/>
      <c r="M43" s="90">
        <f t="shared" si="2"/>
        <v>0.96996871239470528</v>
      </c>
      <c r="N43" s="91">
        <f t="shared" si="3"/>
        <v>3.0031287605294721E-2</v>
      </c>
      <c r="O43" s="120"/>
      <c r="P43" s="80"/>
      <c r="Q43" s="80"/>
      <c r="R43" s="80"/>
    </row>
    <row r="44" spans="2:19" ht="12.95" customHeight="1" x14ac:dyDescent="0.2">
      <c r="B44" s="127" t="s">
        <v>13</v>
      </c>
      <c r="C44" s="42">
        <v>1</v>
      </c>
      <c r="D44" s="23">
        <v>0.38134000000000001</v>
      </c>
      <c r="E44" s="23">
        <v>0.38134000000000001</v>
      </c>
      <c r="F44" s="23">
        <v>0.38135999999999998</v>
      </c>
      <c r="G44" s="23">
        <v>0.38134000000000001</v>
      </c>
      <c r="H44" s="23">
        <v>0.38134000000000001</v>
      </c>
      <c r="I44" s="96">
        <f t="shared" si="0"/>
        <v>0.38134400000000002</v>
      </c>
      <c r="J44" s="124">
        <f>AVERAGE(I44:I48)</f>
        <v>0.4024972</v>
      </c>
      <c r="K44" s="89">
        <f t="shared" si="1"/>
        <v>0.32317288135593225</v>
      </c>
      <c r="L44" s="137">
        <f>AVERAGE(K44:K48)</f>
        <v>0.34109932203389837</v>
      </c>
      <c r="M44" s="90">
        <f t="shared" si="2"/>
        <v>0.91779542719614937</v>
      </c>
      <c r="N44" s="91">
        <f t="shared" si="3"/>
        <v>8.2204572803850628E-2</v>
      </c>
      <c r="O44" s="118">
        <f>AVERAGE(N44:N48)</f>
        <v>3.1294344163658103E-2</v>
      </c>
      <c r="P44" s="80"/>
      <c r="Q44" s="80"/>
      <c r="R44" s="80"/>
    </row>
    <row r="45" spans="2:19" ht="12.95" customHeight="1" x14ac:dyDescent="0.2">
      <c r="B45" s="128"/>
      <c r="C45" s="41">
        <v>2</v>
      </c>
      <c r="D45" s="21">
        <v>0.40822000000000003</v>
      </c>
      <c r="E45" s="21">
        <v>0.40822000000000003</v>
      </c>
      <c r="F45" s="21">
        <v>0.40822000000000003</v>
      </c>
      <c r="G45" s="21">
        <v>0.40822999999999998</v>
      </c>
      <c r="H45" s="21">
        <v>0.40823999999999999</v>
      </c>
      <c r="I45" s="96">
        <f t="shared" si="0"/>
        <v>0.40822600000000009</v>
      </c>
      <c r="J45" s="125"/>
      <c r="K45" s="89">
        <f t="shared" si="1"/>
        <v>0.34595423728813568</v>
      </c>
      <c r="L45" s="135"/>
      <c r="M45" s="90">
        <f t="shared" si="2"/>
        <v>0.98249338146811105</v>
      </c>
      <c r="N45" s="91">
        <f t="shared" si="3"/>
        <v>1.7506618531888951E-2</v>
      </c>
      <c r="O45" s="119"/>
      <c r="P45" s="80"/>
      <c r="Q45" s="80"/>
      <c r="R45" s="80"/>
    </row>
    <row r="46" spans="2:19" ht="13.5" customHeight="1" x14ac:dyDescent="0.2">
      <c r="B46" s="128"/>
      <c r="C46" s="41">
        <v>3</v>
      </c>
      <c r="D46" s="21">
        <v>0.40792</v>
      </c>
      <c r="E46" s="21">
        <v>0.40790999999999999</v>
      </c>
      <c r="F46" s="21">
        <v>0.40792</v>
      </c>
      <c r="G46" s="21">
        <v>0.40790999999999999</v>
      </c>
      <c r="H46" s="21">
        <v>0.40792</v>
      </c>
      <c r="I46" s="96">
        <f t="shared" si="0"/>
        <v>0.407916</v>
      </c>
      <c r="J46" s="125"/>
      <c r="K46" s="89">
        <f t="shared" si="1"/>
        <v>0.34569152542372883</v>
      </c>
      <c r="L46" s="135"/>
      <c r="M46" s="90">
        <f t="shared" si="2"/>
        <v>0.98174729241877268</v>
      </c>
      <c r="N46" s="91">
        <f t="shared" si="3"/>
        <v>1.8252707581227323E-2</v>
      </c>
      <c r="O46" s="119"/>
      <c r="P46" s="80"/>
      <c r="Q46" s="80"/>
      <c r="R46" s="80"/>
    </row>
    <row r="47" spans="2:19" ht="12.95" customHeight="1" x14ac:dyDescent="0.2">
      <c r="B47" s="128"/>
      <c r="C47" s="41">
        <v>4</v>
      </c>
      <c r="D47" s="21">
        <v>0.40849999999999997</v>
      </c>
      <c r="E47" s="21">
        <v>0.40849999999999997</v>
      </c>
      <c r="F47" s="21">
        <v>0.40851999999999999</v>
      </c>
      <c r="G47" s="21">
        <v>0.40851999999999999</v>
      </c>
      <c r="H47" s="21">
        <v>0.40849999999999997</v>
      </c>
      <c r="I47" s="96">
        <f t="shared" si="0"/>
        <v>0.40850799999999998</v>
      </c>
      <c r="J47" s="125"/>
      <c r="K47" s="89">
        <f t="shared" si="1"/>
        <v>0.34619322033898303</v>
      </c>
      <c r="L47" s="135"/>
      <c r="M47" s="90">
        <f t="shared" si="2"/>
        <v>0.98317208182912152</v>
      </c>
      <c r="N47" s="91">
        <f t="shared" si="3"/>
        <v>1.6827918170878475E-2</v>
      </c>
      <c r="O47" s="119"/>
      <c r="P47" s="80"/>
      <c r="Q47" s="80"/>
      <c r="R47" s="80"/>
    </row>
    <row r="48" spans="2:19" ht="13.5" customHeight="1" thickBot="1" x14ac:dyDescent="0.25">
      <c r="B48" s="129"/>
      <c r="C48" s="40">
        <v>5</v>
      </c>
      <c r="D48" s="22">
        <v>0.40649999999999997</v>
      </c>
      <c r="E48" s="22">
        <v>0.40648000000000001</v>
      </c>
      <c r="F48" s="22">
        <v>0.40649999999999997</v>
      </c>
      <c r="G48" s="22">
        <v>0.40648000000000001</v>
      </c>
      <c r="H48" s="22">
        <v>0.40649999999999997</v>
      </c>
      <c r="I48" s="97">
        <f t="shared" si="0"/>
        <v>0.40649199999999996</v>
      </c>
      <c r="J48" s="126"/>
      <c r="K48" s="89">
        <f t="shared" si="1"/>
        <v>0.34448474576271187</v>
      </c>
      <c r="L48" s="136"/>
      <c r="M48" s="90">
        <f t="shared" si="2"/>
        <v>0.97832009626955485</v>
      </c>
      <c r="N48" s="91">
        <f t="shared" si="3"/>
        <v>2.1679903730445149E-2</v>
      </c>
      <c r="O48" s="120"/>
      <c r="P48" s="80"/>
      <c r="Q48" s="80"/>
      <c r="R48" s="80"/>
    </row>
    <row r="49" spans="2:18" x14ac:dyDescent="0.2">
      <c r="B49" s="127" t="s">
        <v>14</v>
      </c>
      <c r="C49" s="42">
        <v>1</v>
      </c>
      <c r="D49" s="23">
        <v>0.41536000000000001</v>
      </c>
      <c r="E49" s="23">
        <v>0.41535</v>
      </c>
      <c r="F49" s="23">
        <v>0.41537000000000002</v>
      </c>
      <c r="G49" s="23">
        <v>0.41537000000000002</v>
      </c>
      <c r="H49" s="23">
        <v>0.41537000000000002</v>
      </c>
      <c r="I49" s="96">
        <f t="shared" si="0"/>
        <v>0.41536400000000001</v>
      </c>
      <c r="J49" s="124">
        <f>AVERAGE(I49:I53)</f>
        <v>0.41448439999999998</v>
      </c>
      <c r="K49" s="89">
        <f t="shared" si="1"/>
        <v>0.3520033898305085</v>
      </c>
      <c r="L49" s="134">
        <f t="shared" ref="L49" si="16">AVERAGE(K49:K53)</f>
        <v>0.35125796610169491</v>
      </c>
      <c r="M49" s="90">
        <f t="shared" si="2"/>
        <v>0.99967268351383887</v>
      </c>
      <c r="N49" s="91">
        <f t="shared" si="3"/>
        <v>3.2731648616113329E-4</v>
      </c>
      <c r="O49" s="118">
        <f t="shared" ref="O49" si="17">AVERAGE(N49:N53)</f>
        <v>2.4442839951864135E-3</v>
      </c>
      <c r="P49" s="80"/>
      <c r="Q49" s="80"/>
      <c r="R49" s="80"/>
    </row>
    <row r="50" spans="2:18" x14ac:dyDescent="0.2">
      <c r="B50" s="128"/>
      <c r="C50" s="41">
        <v>2</v>
      </c>
      <c r="D50" s="21">
        <v>0.41532000000000002</v>
      </c>
      <c r="E50" s="21">
        <v>0.41532999999999998</v>
      </c>
      <c r="F50" s="21">
        <v>0.41532999999999998</v>
      </c>
      <c r="G50" s="21">
        <v>0.41532000000000002</v>
      </c>
      <c r="H50" s="21">
        <v>0.41533999999999999</v>
      </c>
      <c r="I50" s="96">
        <f t="shared" si="0"/>
        <v>0.41532799999999997</v>
      </c>
      <c r="J50" s="125"/>
      <c r="K50" s="89">
        <f t="shared" si="1"/>
        <v>0.35197288135593219</v>
      </c>
      <c r="L50" s="135"/>
      <c r="M50" s="90">
        <f t="shared" si="2"/>
        <v>0.99958604091456082</v>
      </c>
      <c r="N50" s="91">
        <f t="shared" si="3"/>
        <v>4.1395908543917503E-4</v>
      </c>
      <c r="O50" s="119"/>
      <c r="P50" s="80"/>
      <c r="Q50" s="80"/>
      <c r="R50" s="80"/>
    </row>
    <row r="51" spans="2:18" x14ac:dyDescent="0.2">
      <c r="B51" s="128"/>
      <c r="C51" s="41">
        <v>3</v>
      </c>
      <c r="D51" s="21">
        <v>0.41419</v>
      </c>
      <c r="E51" s="21">
        <v>0.41419</v>
      </c>
      <c r="F51" s="21">
        <v>0.41420000000000001</v>
      </c>
      <c r="G51" s="21">
        <v>0.41419</v>
      </c>
      <c r="H51" s="21">
        <v>0.41419</v>
      </c>
      <c r="I51" s="96">
        <f t="shared" si="0"/>
        <v>0.414192</v>
      </c>
      <c r="J51" s="125"/>
      <c r="K51" s="89">
        <f t="shared" si="1"/>
        <v>0.35101016949152547</v>
      </c>
      <c r="L51" s="135"/>
      <c r="M51" s="90">
        <f t="shared" si="2"/>
        <v>0.996851985559567</v>
      </c>
      <c r="N51" s="91">
        <f t="shared" si="3"/>
        <v>3.1480144404330002E-3</v>
      </c>
      <c r="O51" s="119"/>
      <c r="P51" s="80"/>
      <c r="Q51" s="80"/>
      <c r="R51" s="80"/>
    </row>
    <row r="52" spans="2:18" x14ac:dyDescent="0.2">
      <c r="B52" s="128"/>
      <c r="C52" s="41">
        <v>4</v>
      </c>
      <c r="D52" s="21">
        <v>0.41349000000000002</v>
      </c>
      <c r="E52" s="21">
        <v>0.41349000000000002</v>
      </c>
      <c r="F52" s="21">
        <v>0.41348000000000001</v>
      </c>
      <c r="G52" s="21">
        <v>0.41349999999999998</v>
      </c>
      <c r="H52" s="21">
        <v>0.41348000000000001</v>
      </c>
      <c r="I52" s="96">
        <f t="shared" si="0"/>
        <v>0.41348799999999997</v>
      </c>
      <c r="J52" s="125"/>
      <c r="K52" s="89">
        <f t="shared" si="1"/>
        <v>0.35041355932203389</v>
      </c>
      <c r="L52" s="135"/>
      <c r="M52" s="90">
        <f t="shared" si="2"/>
        <v>0.99515764139590857</v>
      </c>
      <c r="N52" s="91">
        <f t="shared" si="3"/>
        <v>4.8423586040914346E-3</v>
      </c>
      <c r="O52" s="119"/>
      <c r="P52" s="80"/>
      <c r="Q52" s="80"/>
      <c r="R52" s="80"/>
    </row>
    <row r="53" spans="2:18" ht="13.5" thickBot="1" x14ac:dyDescent="0.25">
      <c r="B53" s="129"/>
      <c r="C53" s="40">
        <v>5</v>
      </c>
      <c r="D53" s="22">
        <v>0.41404999999999997</v>
      </c>
      <c r="E53" s="22">
        <v>0.41404999999999997</v>
      </c>
      <c r="F53" s="22">
        <v>0.41404000000000002</v>
      </c>
      <c r="G53" s="22">
        <v>0.41405999999999998</v>
      </c>
      <c r="H53" s="22">
        <v>0.41404999999999997</v>
      </c>
      <c r="I53" s="97">
        <f t="shared" si="0"/>
        <v>0.41405000000000003</v>
      </c>
      <c r="J53" s="126"/>
      <c r="K53" s="93">
        <f t="shared" si="1"/>
        <v>0.35088983050847461</v>
      </c>
      <c r="L53" s="136"/>
      <c r="M53" s="94">
        <f t="shared" si="2"/>
        <v>0.99651022864019267</v>
      </c>
      <c r="N53" s="95">
        <f t="shared" si="3"/>
        <v>3.4897713598073254E-3</v>
      </c>
      <c r="O53" s="120"/>
      <c r="P53" s="80"/>
      <c r="Q53" s="80"/>
      <c r="R53" s="80"/>
    </row>
    <row r="56" spans="2:18" ht="12.6" customHeight="1" x14ac:dyDescent="0.2"/>
    <row r="57" spans="2:18" ht="12.6" customHeight="1" x14ac:dyDescent="0.2"/>
    <row r="58" spans="2:18" ht="12.6" customHeight="1" x14ac:dyDescent="0.2">
      <c r="K58" s="2">
        <f>MAX(K4:K53)</f>
        <v>0.35211864406779658</v>
      </c>
    </row>
    <row r="59" spans="2:18" ht="12.6" customHeight="1" x14ac:dyDescent="0.2"/>
    <row r="60" spans="2:18" ht="12.95" customHeight="1" x14ac:dyDescent="0.2"/>
    <row r="61" spans="2:18" ht="12.6" customHeight="1" x14ac:dyDescent="0.2"/>
    <row r="62" spans="2:18" ht="12.6" customHeight="1" x14ac:dyDescent="0.2"/>
    <row r="63" spans="2:18" ht="12.6" customHeight="1" x14ac:dyDescent="0.2"/>
    <row r="64" spans="2:1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101" spans="3:3" ht="12.6" customHeight="1" x14ac:dyDescent="0.2">
      <c r="C101">
        <v>0.35125796610169491</v>
      </c>
    </row>
  </sheetData>
  <mergeCells count="41">
    <mergeCell ref="L39:L43"/>
    <mergeCell ref="L44:L48"/>
    <mergeCell ref="L49:L53"/>
    <mergeCell ref="J19:J23"/>
    <mergeCell ref="J24:J28"/>
    <mergeCell ref="J34:J38"/>
    <mergeCell ref="J29:J33"/>
    <mergeCell ref="L29:L33"/>
    <mergeCell ref="L34:L38"/>
    <mergeCell ref="L4:L8"/>
    <mergeCell ref="L9:L13"/>
    <mergeCell ref="L14:L18"/>
    <mergeCell ref="L19:L23"/>
    <mergeCell ref="L24:L28"/>
    <mergeCell ref="J4:J8"/>
    <mergeCell ref="B34:B38"/>
    <mergeCell ref="B39:B43"/>
    <mergeCell ref="B44:B48"/>
    <mergeCell ref="B49:B53"/>
    <mergeCell ref="B4:B8"/>
    <mergeCell ref="B9:B13"/>
    <mergeCell ref="B14:B18"/>
    <mergeCell ref="B19:B23"/>
    <mergeCell ref="B24:B28"/>
    <mergeCell ref="B29:B33"/>
    <mergeCell ref="J39:J43"/>
    <mergeCell ref="J44:J48"/>
    <mergeCell ref="J49:J53"/>
    <mergeCell ref="J9:J13"/>
    <mergeCell ref="J14:J18"/>
    <mergeCell ref="O49:O53"/>
    <mergeCell ref="O4:O8"/>
    <mergeCell ref="O9:O13"/>
    <mergeCell ref="O14:O18"/>
    <mergeCell ref="O19:O23"/>
    <mergeCell ref="O24:O28"/>
    <mergeCell ref="Q9:Q12"/>
    <mergeCell ref="O29:O33"/>
    <mergeCell ref="O34:O38"/>
    <mergeCell ref="O39:O43"/>
    <mergeCell ref="O44:O48"/>
  </mergeCell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728C-A409-4891-BB4A-CBF1B58BC871}">
  <dimension ref="B2:Q58"/>
  <sheetViews>
    <sheetView zoomScale="79" workbookViewId="0">
      <selection activeCell="G53" sqref="G53"/>
    </sheetView>
  </sheetViews>
  <sheetFormatPr defaultRowHeight="12.75" x14ac:dyDescent="0.2"/>
  <cols>
    <col min="2" max="2" width="14.85546875" bestFit="1" customWidth="1"/>
    <col min="3" max="3" width="8" bestFit="1" customWidth="1"/>
    <col min="4" max="4" width="12.5703125" bestFit="1" customWidth="1"/>
    <col min="5" max="5" width="26.42578125" style="1" bestFit="1" customWidth="1"/>
    <col min="6" max="6" width="29.140625" customWidth="1"/>
    <col min="7" max="7" width="34.42578125" style="1" bestFit="1" customWidth="1"/>
    <col min="8" max="8" width="10.85546875" bestFit="1" customWidth="1"/>
    <col min="9" max="9" width="9.85546875" style="1" bestFit="1" customWidth="1"/>
  </cols>
  <sheetData>
    <row r="2" spans="2:17" ht="13.5" customHeight="1" thickBot="1" x14ac:dyDescent="0.25">
      <c r="B2" s="103" t="s">
        <v>0</v>
      </c>
      <c r="C2" s="104" t="s">
        <v>1</v>
      </c>
      <c r="D2" s="109" t="s">
        <v>17</v>
      </c>
      <c r="E2" s="107" t="s">
        <v>18</v>
      </c>
      <c r="F2" s="108" t="s">
        <v>44</v>
      </c>
      <c r="G2" s="107" t="s">
        <v>69</v>
      </c>
      <c r="H2" s="107" t="s">
        <v>21</v>
      </c>
      <c r="I2" s="107" t="s">
        <v>22</v>
      </c>
    </row>
    <row r="3" spans="2:17" ht="12.6" customHeight="1" thickTop="1" x14ac:dyDescent="0.2">
      <c r="B3" s="142" t="s">
        <v>5</v>
      </c>
      <c r="C3" s="18">
        <v>1</v>
      </c>
      <c r="D3" s="110">
        <v>2889.4</v>
      </c>
      <c r="E3" s="23">
        <v>102.19162057104943</v>
      </c>
      <c r="F3" s="145">
        <v>105.33227811472948</v>
      </c>
      <c r="G3" s="23">
        <v>2254.1435000000001</v>
      </c>
      <c r="H3" s="145">
        <v>2243.8323</v>
      </c>
      <c r="I3" s="23">
        <v>0.99973000000000001</v>
      </c>
    </row>
    <row r="4" spans="2:17" ht="12.6" customHeight="1" x14ac:dyDescent="0.2">
      <c r="B4" s="143"/>
      <c r="C4" s="17">
        <v>2</v>
      </c>
      <c r="D4" s="41">
        <v>2591.3000000000002</v>
      </c>
      <c r="E4" s="21">
        <v>91.648489785339649</v>
      </c>
      <c r="F4" s="146"/>
      <c r="G4" s="21">
        <v>2078.9227999999998</v>
      </c>
      <c r="H4" s="146"/>
      <c r="I4" s="21">
        <v>0.99970000000000003</v>
      </c>
    </row>
    <row r="5" spans="2:17" ht="12.6" customHeight="1" x14ac:dyDescent="0.2">
      <c r="B5" s="143"/>
      <c r="C5" s="17">
        <v>3</v>
      </c>
      <c r="D5" s="41">
        <v>3125.8</v>
      </c>
      <c r="E5" s="21">
        <v>110.55256024814366</v>
      </c>
      <c r="F5" s="146"/>
      <c r="G5" s="21">
        <v>2300.7764999999999</v>
      </c>
      <c r="H5" s="146"/>
      <c r="I5" s="21">
        <v>0.99972000000000005</v>
      </c>
    </row>
    <row r="6" spans="2:17" ht="12.6" customHeight="1" x14ac:dyDescent="0.2">
      <c r="B6" s="143"/>
      <c r="C6" s="17">
        <v>4</v>
      </c>
      <c r="D6" s="41">
        <v>3122</v>
      </c>
      <c r="E6" s="21">
        <v>110.41816274064384</v>
      </c>
      <c r="F6" s="146"/>
      <c r="G6" s="21">
        <v>2364.6684</v>
      </c>
      <c r="H6" s="146"/>
      <c r="I6" s="21">
        <v>0.99956</v>
      </c>
    </row>
    <row r="7" spans="2:17" ht="12.95" customHeight="1" thickBot="1" x14ac:dyDescent="0.25">
      <c r="B7" s="144"/>
      <c r="C7" s="105">
        <v>5</v>
      </c>
      <c r="D7" s="43">
        <v>3162.5</v>
      </c>
      <c r="E7" s="106">
        <v>111.85055722847089</v>
      </c>
      <c r="F7" s="147"/>
      <c r="G7" s="106">
        <v>2220.6502999999998</v>
      </c>
      <c r="H7" s="147"/>
      <c r="I7" s="106">
        <v>0.99970999999999999</v>
      </c>
    </row>
    <row r="8" spans="2:17" ht="12.6" customHeight="1" thickTop="1" x14ac:dyDescent="0.2">
      <c r="B8" s="142" t="s">
        <v>6</v>
      </c>
      <c r="C8" s="18">
        <v>1</v>
      </c>
      <c r="D8" s="42">
        <v>3089.8</v>
      </c>
      <c r="E8" s="23">
        <v>109.2793207034085</v>
      </c>
      <c r="F8" s="145">
        <v>99.407470099895207</v>
      </c>
      <c r="G8" s="23">
        <v>2268.8036999999999</v>
      </c>
      <c r="H8" s="145">
        <v>2217.6830400000003</v>
      </c>
      <c r="I8" s="23">
        <v>0.99927999999999995</v>
      </c>
      <c r="O8" s="111"/>
      <c r="P8" s="111"/>
      <c r="Q8" s="111"/>
    </row>
    <row r="9" spans="2:17" ht="12.6" customHeight="1" x14ac:dyDescent="0.2">
      <c r="B9" s="143"/>
      <c r="C9" s="17">
        <v>2</v>
      </c>
      <c r="D9" s="41">
        <v>2645.8</v>
      </c>
      <c r="E9" s="21">
        <v>93.576032985008155</v>
      </c>
      <c r="F9" s="146"/>
      <c r="G9" s="21">
        <v>2127.1352000000002</v>
      </c>
      <c r="H9" s="146"/>
      <c r="I9" s="21">
        <v>0.99961</v>
      </c>
      <c r="O9" s="111"/>
      <c r="P9" s="112"/>
      <c r="Q9" s="111"/>
    </row>
    <row r="10" spans="2:17" ht="12.6" customHeight="1" x14ac:dyDescent="0.2">
      <c r="B10" s="143"/>
      <c r="C10" s="17">
        <v>3</v>
      </c>
      <c r="D10" s="41">
        <v>2888.7</v>
      </c>
      <c r="E10" s="21">
        <v>102.16686313545735</v>
      </c>
      <c r="F10" s="146"/>
      <c r="G10" s="21">
        <v>2303.4949999999999</v>
      </c>
      <c r="H10" s="146"/>
      <c r="I10" s="21">
        <v>0.99970000000000003</v>
      </c>
      <c r="O10" s="111"/>
      <c r="P10" s="113"/>
      <c r="Q10" s="111"/>
    </row>
    <row r="11" spans="2:17" ht="12.6" customHeight="1" x14ac:dyDescent="0.2">
      <c r="B11" s="143"/>
      <c r="C11" s="17">
        <v>4</v>
      </c>
      <c r="D11" s="41">
        <v>2721.2</v>
      </c>
      <c r="E11" s="21">
        <v>96.242762475925687</v>
      </c>
      <c r="F11" s="146"/>
      <c r="G11" s="21">
        <v>2251.3656000000001</v>
      </c>
      <c r="H11" s="146"/>
      <c r="I11" s="21">
        <v>0.99955000000000005</v>
      </c>
      <c r="O11" s="111"/>
      <c r="P11" s="113"/>
      <c r="Q11" s="111"/>
    </row>
    <row r="12" spans="2:17" ht="12.95" customHeight="1" thickBot="1" x14ac:dyDescent="0.25">
      <c r="B12" s="144"/>
      <c r="C12" s="105">
        <v>5</v>
      </c>
      <c r="D12" s="27">
        <v>2707.9</v>
      </c>
      <c r="E12" s="106">
        <v>95.772371199676314</v>
      </c>
      <c r="F12" s="147"/>
      <c r="G12" s="106">
        <v>2137.6156999999998</v>
      </c>
      <c r="H12" s="147"/>
      <c r="I12" s="106">
        <v>0.99951000000000001</v>
      </c>
      <c r="O12" s="111"/>
      <c r="P12" s="113"/>
      <c r="Q12" s="111"/>
    </row>
    <row r="13" spans="2:17" ht="12.6" customHeight="1" thickTop="1" x14ac:dyDescent="0.2">
      <c r="B13" s="142" t="s">
        <v>7</v>
      </c>
      <c r="C13" s="18">
        <v>1</v>
      </c>
      <c r="D13" s="28">
        <v>2875.8</v>
      </c>
      <c r="E13" s="23">
        <v>101.71061896526059</v>
      </c>
      <c r="F13" s="145">
        <v>106.12310134307054</v>
      </c>
      <c r="G13" s="23">
        <v>2181.2878000000001</v>
      </c>
      <c r="H13" s="145">
        <v>2260.7292000000002</v>
      </c>
      <c r="I13" s="23">
        <v>0.99958999999999998</v>
      </c>
      <c r="O13" s="111"/>
      <c r="P13" s="113"/>
      <c r="Q13" s="111"/>
    </row>
    <row r="14" spans="2:17" ht="12.6" customHeight="1" x14ac:dyDescent="0.2">
      <c r="B14" s="143"/>
      <c r="C14" s="17">
        <v>2</v>
      </c>
      <c r="D14" s="29">
        <v>2811.8</v>
      </c>
      <c r="E14" s="21">
        <v>99.447081996842527</v>
      </c>
      <c r="F14" s="146"/>
      <c r="G14" s="21">
        <v>2215.1239999999998</v>
      </c>
      <c r="H14" s="146"/>
      <c r="I14" s="21">
        <v>0.99966999999999995</v>
      </c>
      <c r="O14" s="111"/>
      <c r="P14" s="113"/>
      <c r="Q14" s="111"/>
    </row>
    <row r="15" spans="2:17" ht="12.6" customHeight="1" x14ac:dyDescent="0.2">
      <c r="B15" s="143"/>
      <c r="C15" s="17">
        <v>3</v>
      </c>
      <c r="D15" s="29">
        <v>3145.5</v>
      </c>
      <c r="E15" s="21">
        <v>111.24930522123485</v>
      </c>
      <c r="F15" s="146"/>
      <c r="G15" s="21">
        <v>2288.7348000000002</v>
      </c>
      <c r="H15" s="146"/>
      <c r="I15" s="21">
        <v>0.99961</v>
      </c>
      <c r="O15" s="111"/>
      <c r="P15" s="113"/>
      <c r="Q15" s="111"/>
    </row>
    <row r="16" spans="2:17" ht="12.6" customHeight="1" x14ac:dyDescent="0.2">
      <c r="B16" s="143"/>
      <c r="C16" s="17">
        <v>4</v>
      </c>
      <c r="D16" s="29">
        <v>3086.1</v>
      </c>
      <c r="E16" s="21">
        <v>109.14845997242182</v>
      </c>
      <c r="F16" s="146"/>
      <c r="G16" s="21">
        <v>2254.5248999999999</v>
      </c>
      <c r="H16" s="146"/>
      <c r="I16" s="21">
        <v>0.99951999999999996</v>
      </c>
      <c r="O16" s="111"/>
      <c r="P16" s="113"/>
      <c r="Q16" s="111"/>
    </row>
    <row r="17" spans="2:17" ht="12.95" customHeight="1" thickBot="1" x14ac:dyDescent="0.25">
      <c r="B17" s="144"/>
      <c r="C17" s="105">
        <v>5</v>
      </c>
      <c r="D17" s="30">
        <v>3083.6</v>
      </c>
      <c r="E17" s="106">
        <v>109.06004055959299</v>
      </c>
      <c r="F17" s="147"/>
      <c r="G17" s="106">
        <v>2363.9744999999998</v>
      </c>
      <c r="H17" s="147"/>
      <c r="I17" s="106">
        <v>0.99948999999999999</v>
      </c>
      <c r="O17" s="111"/>
      <c r="P17" s="113"/>
      <c r="Q17" s="111"/>
    </row>
    <row r="18" spans="2:17" ht="12.6" customHeight="1" thickTop="1" x14ac:dyDescent="0.2">
      <c r="B18" s="142" t="s">
        <v>8</v>
      </c>
      <c r="C18" s="18">
        <v>1</v>
      </c>
      <c r="D18" s="28">
        <v>3103.1</v>
      </c>
      <c r="E18" s="23">
        <v>109.74971197965787</v>
      </c>
      <c r="F18" s="145">
        <v>107.30862883027953</v>
      </c>
      <c r="G18" s="23">
        <v>2189.6590999999999</v>
      </c>
      <c r="H18" s="145">
        <v>2148.8757400000004</v>
      </c>
      <c r="I18" s="23">
        <v>0.99953000000000003</v>
      </c>
      <c r="O18" s="111"/>
      <c r="P18" s="113"/>
      <c r="Q18" s="111"/>
    </row>
    <row r="19" spans="2:17" ht="12.6" customHeight="1" x14ac:dyDescent="0.2">
      <c r="B19" s="143"/>
      <c r="C19" s="17">
        <v>2</v>
      </c>
      <c r="D19" s="29">
        <v>3019.6</v>
      </c>
      <c r="E19" s="21">
        <v>106.79650359117493</v>
      </c>
      <c r="F19" s="146"/>
      <c r="G19" s="21">
        <v>2058.1747</v>
      </c>
      <c r="H19" s="146"/>
      <c r="I19" s="21">
        <v>0.99965999999999999</v>
      </c>
      <c r="O19" s="111"/>
      <c r="P19" s="113"/>
      <c r="Q19" s="111"/>
    </row>
    <row r="20" spans="2:17" ht="12.6" customHeight="1" x14ac:dyDescent="0.2">
      <c r="B20" s="143"/>
      <c r="C20" s="17">
        <v>3</v>
      </c>
      <c r="D20" s="29">
        <v>2894.3</v>
      </c>
      <c r="E20" s="21">
        <v>102.36492262019394</v>
      </c>
      <c r="F20" s="146"/>
      <c r="G20" s="21">
        <v>2237.5747000000001</v>
      </c>
      <c r="H20" s="146"/>
      <c r="I20" s="21">
        <v>0.99941000000000002</v>
      </c>
      <c r="O20" s="111"/>
      <c r="P20" s="113"/>
      <c r="Q20" s="111"/>
    </row>
    <row r="21" spans="2:17" ht="12.6" customHeight="1" x14ac:dyDescent="0.2">
      <c r="B21" s="143"/>
      <c r="C21" s="17">
        <v>4</v>
      </c>
      <c r="D21" s="29">
        <v>3048.5</v>
      </c>
      <c r="E21" s="21">
        <v>107.81863200347621</v>
      </c>
      <c r="F21" s="146"/>
      <c r="G21" s="21">
        <v>2171.9481000000001</v>
      </c>
      <c r="H21" s="146"/>
      <c r="I21" s="21">
        <v>0.99933000000000005</v>
      </c>
      <c r="O21" s="111"/>
      <c r="P21" s="113"/>
      <c r="Q21" s="111"/>
    </row>
    <row r="22" spans="2:17" ht="12.95" customHeight="1" thickBot="1" x14ac:dyDescent="0.25">
      <c r="B22" s="144"/>
      <c r="C22" s="105">
        <v>5</v>
      </c>
      <c r="D22" s="30">
        <v>3104.9</v>
      </c>
      <c r="E22" s="106">
        <v>109.81337395689464</v>
      </c>
      <c r="F22" s="147"/>
      <c r="G22" s="106">
        <v>2087.0221000000001</v>
      </c>
      <c r="H22" s="147"/>
      <c r="I22" s="106">
        <v>0.99955000000000005</v>
      </c>
      <c r="O22" s="111"/>
      <c r="P22" s="113"/>
      <c r="Q22" s="111"/>
    </row>
    <row r="23" spans="2:17" ht="12.6" customHeight="1" thickTop="1" x14ac:dyDescent="0.2">
      <c r="B23" s="142" t="s">
        <v>9</v>
      </c>
      <c r="C23" s="18">
        <v>1</v>
      </c>
      <c r="D23" s="28">
        <v>3292.6</v>
      </c>
      <c r="E23" s="23">
        <v>116.45190347208325</v>
      </c>
      <c r="F23" s="145">
        <v>111.45160883778719</v>
      </c>
      <c r="G23" s="23">
        <v>2239.2710999999999</v>
      </c>
      <c r="H23" s="145">
        <v>2213.2976200000003</v>
      </c>
      <c r="I23" s="23">
        <v>0.99951999999999996</v>
      </c>
      <c r="O23" s="111"/>
      <c r="P23" s="113"/>
      <c r="Q23" s="111"/>
    </row>
    <row r="24" spans="2:17" ht="12.6" customHeight="1" x14ac:dyDescent="0.2">
      <c r="B24" s="143"/>
      <c r="C24" s="17">
        <v>2</v>
      </c>
      <c r="D24" s="29">
        <v>3235.1</v>
      </c>
      <c r="E24" s="21">
        <v>114.41825697702014</v>
      </c>
      <c r="F24" s="146"/>
      <c r="G24" s="21">
        <v>2244.3519000000001</v>
      </c>
      <c r="H24" s="146"/>
      <c r="I24" s="21">
        <v>0.99953999999999998</v>
      </c>
      <c r="O24" s="111"/>
      <c r="P24" s="113"/>
      <c r="Q24" s="111"/>
    </row>
    <row r="25" spans="2:17" ht="12.6" customHeight="1" x14ac:dyDescent="0.2">
      <c r="B25" s="143"/>
      <c r="C25" s="17">
        <v>3</v>
      </c>
      <c r="D25" s="29">
        <v>3267.2</v>
      </c>
      <c r="E25" s="21">
        <v>115.55356223774231</v>
      </c>
      <c r="F25" s="146"/>
      <c r="G25" s="21">
        <v>2132.0657999999999</v>
      </c>
      <c r="H25" s="146"/>
      <c r="I25" s="21">
        <v>0.99953000000000003</v>
      </c>
      <c r="O25" s="111"/>
      <c r="P25" s="113"/>
      <c r="Q25" s="111"/>
    </row>
    <row r="26" spans="2:17" ht="12.6" customHeight="1" x14ac:dyDescent="0.2">
      <c r="B26" s="143"/>
      <c r="C26" s="17">
        <v>4</v>
      </c>
      <c r="D26" s="29">
        <v>2734.1</v>
      </c>
      <c r="E26" s="21">
        <v>96.699006646122456</v>
      </c>
      <c r="F26" s="146"/>
      <c r="G26" s="21">
        <v>2232.6026000000002</v>
      </c>
      <c r="H26" s="146"/>
      <c r="I26" s="21">
        <v>0.99948000000000004</v>
      </c>
      <c r="O26" s="111"/>
      <c r="P26" s="113"/>
      <c r="Q26" s="111"/>
    </row>
    <row r="27" spans="2:17" ht="12.95" customHeight="1" thickBot="1" x14ac:dyDescent="0.25">
      <c r="B27" s="144"/>
      <c r="C27" s="105">
        <v>5</v>
      </c>
      <c r="D27" s="30">
        <v>3227.1</v>
      </c>
      <c r="E27" s="106">
        <v>114.13531485596788</v>
      </c>
      <c r="F27" s="147"/>
      <c r="G27" s="106">
        <v>2218.1967</v>
      </c>
      <c r="H27" s="147"/>
      <c r="I27" s="106">
        <v>0.99941999999999998</v>
      </c>
      <c r="O27" s="111"/>
      <c r="P27" s="113"/>
      <c r="Q27" s="111"/>
    </row>
    <row r="28" spans="2:17" ht="12.6" customHeight="1" thickTop="1" x14ac:dyDescent="0.2">
      <c r="B28" s="142" t="s">
        <v>11</v>
      </c>
      <c r="C28" s="18">
        <v>1</v>
      </c>
      <c r="D28" s="28">
        <v>2984.7</v>
      </c>
      <c r="E28" s="23">
        <v>105.56216858808445</v>
      </c>
      <c r="F28" s="145">
        <v>107.51871335516083</v>
      </c>
      <c r="G28" s="23">
        <v>2140.0369999999998</v>
      </c>
      <c r="H28" s="145">
        <v>2252.8918199999998</v>
      </c>
      <c r="I28" s="23">
        <v>0.99963999999999997</v>
      </c>
      <c r="O28" s="111"/>
      <c r="P28" s="113"/>
      <c r="Q28" s="111"/>
    </row>
    <row r="29" spans="2:17" ht="12.6" customHeight="1" x14ac:dyDescent="0.2">
      <c r="B29" s="143"/>
      <c r="C29" s="17">
        <v>2</v>
      </c>
      <c r="D29" s="29">
        <v>3211</v>
      </c>
      <c r="E29" s="21">
        <v>113.5658938373502</v>
      </c>
      <c r="F29" s="146"/>
      <c r="G29" s="21">
        <v>2389.9801000000002</v>
      </c>
      <c r="H29" s="146"/>
      <c r="I29" s="21">
        <v>0.99960000000000004</v>
      </c>
      <c r="O29" s="111"/>
      <c r="P29" s="113"/>
      <c r="Q29" s="111"/>
    </row>
    <row r="30" spans="2:17" ht="12.6" customHeight="1" x14ac:dyDescent="0.2">
      <c r="B30" s="143"/>
      <c r="C30" s="17">
        <v>3</v>
      </c>
      <c r="D30" s="29">
        <v>3164.1</v>
      </c>
      <c r="E30" s="21">
        <v>111.90714565268134</v>
      </c>
      <c r="F30" s="146"/>
      <c r="G30" s="21">
        <v>2342.8494000000001</v>
      </c>
      <c r="H30" s="146"/>
      <c r="I30" s="21">
        <v>0.99943000000000004</v>
      </c>
      <c r="O30" s="111"/>
      <c r="P30" s="113"/>
      <c r="Q30" s="111"/>
    </row>
    <row r="31" spans="2:17" ht="12.6" customHeight="1" x14ac:dyDescent="0.2">
      <c r="B31" s="143"/>
      <c r="C31" s="17">
        <v>4</v>
      </c>
      <c r="D31" s="29">
        <v>3083.4</v>
      </c>
      <c r="E31" s="21">
        <v>109.05296700656669</v>
      </c>
      <c r="F31" s="146"/>
      <c r="G31" s="21">
        <v>2219.2404000000001</v>
      </c>
      <c r="H31" s="146"/>
      <c r="I31" s="21">
        <v>0.99956</v>
      </c>
      <c r="O31" s="111"/>
      <c r="P31" s="113"/>
      <c r="Q31" s="111"/>
    </row>
    <row r="32" spans="2:17" ht="12.95" customHeight="1" thickBot="1" x14ac:dyDescent="0.25">
      <c r="B32" s="144"/>
      <c r="C32" s="105">
        <v>5</v>
      </c>
      <c r="D32" s="40">
        <v>2756.9</v>
      </c>
      <c r="E32" s="106">
        <v>97.505391691121403</v>
      </c>
      <c r="F32" s="147"/>
      <c r="G32" s="106">
        <v>2172.3521999999998</v>
      </c>
      <c r="H32" s="147"/>
      <c r="I32" s="106">
        <v>0.99948999999999999</v>
      </c>
      <c r="O32" s="111"/>
      <c r="P32" s="113"/>
      <c r="Q32" s="111"/>
    </row>
    <row r="33" spans="2:17" ht="12.6" customHeight="1" thickTop="1" x14ac:dyDescent="0.2">
      <c r="B33" s="142" t="s">
        <v>12</v>
      </c>
      <c r="C33" s="18">
        <v>1</v>
      </c>
      <c r="D33" s="28">
        <v>3148.4</v>
      </c>
      <c r="E33" s="23">
        <v>111.35187174011629</v>
      </c>
      <c r="F33" s="145">
        <v>107.04549265770092</v>
      </c>
      <c r="G33" s="23">
        <v>2334.3094000000001</v>
      </c>
      <c r="H33" s="145">
        <v>2247.7364200000002</v>
      </c>
      <c r="I33" s="23">
        <v>0.99950000000000006</v>
      </c>
      <c r="O33" s="111"/>
      <c r="P33" s="113"/>
      <c r="Q33" s="111"/>
    </row>
    <row r="34" spans="2:17" ht="12.6" customHeight="1" x14ac:dyDescent="0.2">
      <c r="B34" s="143"/>
      <c r="C34" s="17">
        <v>2</v>
      </c>
      <c r="D34" s="29">
        <v>2811.8</v>
      </c>
      <c r="E34" s="21">
        <v>99.447081996842527</v>
      </c>
      <c r="F34" s="146"/>
      <c r="G34" s="21">
        <v>2215.1239999999998</v>
      </c>
      <c r="H34" s="146"/>
      <c r="I34" s="21">
        <v>0.99966999999999995</v>
      </c>
      <c r="O34" s="111"/>
      <c r="P34" s="113"/>
      <c r="Q34" s="111"/>
    </row>
    <row r="35" spans="2:17" ht="12.6" customHeight="1" x14ac:dyDescent="0.2">
      <c r="B35" s="143"/>
      <c r="C35" s="17">
        <v>3</v>
      </c>
      <c r="D35" s="29">
        <v>3016</v>
      </c>
      <c r="E35" s="21">
        <v>106.66917963670141</v>
      </c>
      <c r="F35" s="146"/>
      <c r="G35" s="21">
        <v>2065.8382000000001</v>
      </c>
      <c r="H35" s="146"/>
      <c r="I35" s="21">
        <v>0.99946000000000002</v>
      </c>
      <c r="O35" s="111"/>
      <c r="P35" s="113"/>
      <c r="Q35" s="111"/>
    </row>
    <row r="36" spans="2:17" ht="12.6" customHeight="1" x14ac:dyDescent="0.2">
      <c r="B36" s="143"/>
      <c r="C36" s="17">
        <v>4</v>
      </c>
      <c r="D36" s="29">
        <v>3076.3</v>
      </c>
      <c r="E36" s="21">
        <v>108.80185587413281</v>
      </c>
      <c r="F36" s="146"/>
      <c r="G36" s="21">
        <v>2337.2161000000001</v>
      </c>
      <c r="H36" s="146"/>
      <c r="I36" s="21">
        <v>0.99955000000000005</v>
      </c>
      <c r="O36" s="111"/>
      <c r="P36" s="113"/>
      <c r="Q36" s="111"/>
    </row>
    <row r="37" spans="2:17" ht="12.95" customHeight="1" thickBot="1" x14ac:dyDescent="0.25">
      <c r="B37" s="144"/>
      <c r="C37" s="105">
        <v>5</v>
      </c>
      <c r="D37" s="40">
        <v>3080.7</v>
      </c>
      <c r="E37" s="106">
        <v>108.95747404071155</v>
      </c>
      <c r="F37" s="147"/>
      <c r="G37" s="106">
        <v>2286.1943999999999</v>
      </c>
      <c r="H37" s="147"/>
      <c r="I37" s="106">
        <v>0.99968999999999997</v>
      </c>
      <c r="O37" s="111"/>
      <c r="P37" s="113"/>
      <c r="Q37" s="111"/>
    </row>
    <row r="38" spans="2:17" ht="12.6" customHeight="1" thickTop="1" x14ac:dyDescent="0.2">
      <c r="B38" s="142" t="s">
        <v>13</v>
      </c>
      <c r="C38" s="18">
        <v>1</v>
      </c>
      <c r="D38" s="28">
        <v>1565.8</v>
      </c>
      <c r="E38" s="23">
        <v>55.37884664295327</v>
      </c>
      <c r="F38" s="145">
        <v>101.48426526841878</v>
      </c>
      <c r="G38" s="23">
        <v>1824.9129</v>
      </c>
      <c r="H38" s="145">
        <v>2280.25578</v>
      </c>
      <c r="I38" s="23">
        <v>0.99948000000000004</v>
      </c>
      <c r="O38" s="111"/>
      <c r="P38" s="113"/>
      <c r="Q38" s="111"/>
    </row>
    <row r="39" spans="2:17" ht="12.6" customHeight="1" x14ac:dyDescent="0.2">
      <c r="B39" s="143"/>
      <c r="C39" s="17">
        <v>2</v>
      </c>
      <c r="D39" s="29">
        <v>3109</v>
      </c>
      <c r="E39" s="21">
        <v>109.95838179393391</v>
      </c>
      <c r="F39" s="146"/>
      <c r="G39" s="21">
        <v>2378.3928999999998</v>
      </c>
      <c r="H39" s="146"/>
      <c r="I39" s="21">
        <v>0.99965000000000004</v>
      </c>
      <c r="O39" s="111"/>
      <c r="P39" s="113"/>
      <c r="Q39" s="111"/>
    </row>
    <row r="40" spans="2:17" ht="12.6" customHeight="1" x14ac:dyDescent="0.2">
      <c r="B40" s="143"/>
      <c r="C40" s="17">
        <v>3</v>
      </c>
      <c r="D40" s="29">
        <v>3248.9</v>
      </c>
      <c r="E40" s="21">
        <v>114.90633213583529</v>
      </c>
      <c r="F40" s="146"/>
      <c r="G40" s="21">
        <v>2403.0450000000001</v>
      </c>
      <c r="H40" s="146"/>
      <c r="I40" s="21">
        <v>0.99951999999999996</v>
      </c>
      <c r="O40" s="111"/>
      <c r="P40" s="113"/>
      <c r="Q40" s="111"/>
    </row>
    <row r="41" spans="2:17" ht="12.6" customHeight="1" x14ac:dyDescent="0.2">
      <c r="B41" s="143"/>
      <c r="C41" s="17">
        <v>4</v>
      </c>
      <c r="D41" s="29">
        <v>3225.9</v>
      </c>
      <c r="E41" s="21">
        <v>114.09287353781005</v>
      </c>
      <c r="F41" s="146"/>
      <c r="G41" s="21">
        <v>2370.9164999999998</v>
      </c>
      <c r="H41" s="146"/>
      <c r="I41" s="21">
        <v>0.99944999999999995</v>
      </c>
      <c r="O41" s="111"/>
      <c r="P41" s="113"/>
      <c r="Q41" s="111"/>
    </row>
    <row r="42" spans="2:17" ht="12.95" customHeight="1" thickBot="1" x14ac:dyDescent="0.25">
      <c r="B42" s="144"/>
      <c r="C42" s="105">
        <v>5</v>
      </c>
      <c r="D42" s="29">
        <v>3197.4</v>
      </c>
      <c r="E42" s="106">
        <v>113.08489223156137</v>
      </c>
      <c r="F42" s="147"/>
      <c r="G42" s="106">
        <v>2424.0115999999998</v>
      </c>
      <c r="H42" s="147"/>
      <c r="I42" s="106">
        <v>0.99951999999999996</v>
      </c>
      <c r="O42" s="111"/>
      <c r="P42" s="113"/>
      <c r="Q42" s="111"/>
    </row>
    <row r="43" spans="2:17" ht="12.6" customHeight="1" thickTop="1" x14ac:dyDescent="0.2">
      <c r="B43" s="142" t="s">
        <v>14</v>
      </c>
      <c r="C43" s="18">
        <v>1</v>
      </c>
      <c r="D43" s="29">
        <v>3378.8</v>
      </c>
      <c r="E43" s="23">
        <v>119.50060482642134</v>
      </c>
      <c r="F43" s="148">
        <v>115.075390053164</v>
      </c>
      <c r="G43" s="23">
        <v>2224.1801999999998</v>
      </c>
      <c r="H43" s="148">
        <v>2252.6977399999996</v>
      </c>
      <c r="I43" s="23">
        <v>0.99965999999999999</v>
      </c>
      <c r="O43" s="111"/>
      <c r="P43" s="113"/>
      <c r="Q43" s="111"/>
    </row>
    <row r="44" spans="2:17" ht="12.6" customHeight="1" x14ac:dyDescent="0.2">
      <c r="B44" s="143"/>
      <c r="C44" s="17">
        <v>2</v>
      </c>
      <c r="D44" s="29">
        <v>3267.9</v>
      </c>
      <c r="E44" s="21">
        <v>115.57831967333441</v>
      </c>
      <c r="F44" s="149"/>
      <c r="G44" s="21">
        <v>2324.3728999999998</v>
      </c>
      <c r="H44" s="149"/>
      <c r="I44" s="21">
        <v>0.99933000000000005</v>
      </c>
      <c r="O44" s="111"/>
      <c r="P44" s="113"/>
      <c r="Q44" s="111"/>
    </row>
    <row r="45" spans="2:17" ht="12.6" customHeight="1" x14ac:dyDescent="0.2">
      <c r="B45" s="143"/>
      <c r="C45" s="17">
        <v>3</v>
      </c>
      <c r="D45" s="29">
        <v>3223.5</v>
      </c>
      <c r="E45" s="21">
        <v>114.00799090149437</v>
      </c>
      <c r="F45" s="149"/>
      <c r="G45" s="21">
        <v>2287.7366999999999</v>
      </c>
      <c r="H45" s="149"/>
      <c r="I45" s="21">
        <v>0.99955000000000005</v>
      </c>
      <c r="O45" s="111"/>
      <c r="P45" s="113"/>
      <c r="Q45" s="111"/>
    </row>
    <row r="46" spans="2:17" ht="12.6" customHeight="1" x14ac:dyDescent="0.2">
      <c r="B46" s="143"/>
      <c r="C46" s="17">
        <v>4</v>
      </c>
      <c r="D46" s="29">
        <v>3187.1</v>
      </c>
      <c r="E46" s="21">
        <v>112.72060425070659</v>
      </c>
      <c r="F46" s="149"/>
      <c r="G46" s="21">
        <v>2239.8467000000001</v>
      </c>
      <c r="H46" s="149"/>
      <c r="I46" s="21">
        <v>0.99951999999999996</v>
      </c>
      <c r="O46" s="111"/>
      <c r="P46" s="113"/>
      <c r="Q46" s="111"/>
    </row>
    <row r="47" spans="2:17" ht="12.95" customHeight="1" thickBot="1" x14ac:dyDescent="0.25">
      <c r="B47" s="144"/>
      <c r="C47" s="105">
        <v>5</v>
      </c>
      <c r="D47" s="40">
        <v>3211.1</v>
      </c>
      <c r="E47" s="106">
        <v>113.56943061386336</v>
      </c>
      <c r="F47" s="150"/>
      <c r="G47" s="106">
        <v>2187.3521999999998</v>
      </c>
      <c r="H47" s="150"/>
      <c r="I47" s="106">
        <v>0.99939999999999996</v>
      </c>
      <c r="O47" s="111"/>
      <c r="P47" s="113"/>
      <c r="Q47" s="111"/>
    </row>
    <row r="48" spans="2:17" ht="13.5" thickTop="1" x14ac:dyDescent="0.2">
      <c r="O48" s="111"/>
      <c r="P48" s="113"/>
      <c r="Q48" s="111"/>
    </row>
    <row r="49" spans="15:17" x14ac:dyDescent="0.2">
      <c r="O49" s="111"/>
      <c r="P49" s="113"/>
      <c r="Q49" s="111"/>
    </row>
    <row r="50" spans="15:17" x14ac:dyDescent="0.2">
      <c r="O50" s="111"/>
      <c r="P50" s="113"/>
      <c r="Q50" s="111"/>
    </row>
    <row r="51" spans="15:17" x14ac:dyDescent="0.2">
      <c r="O51" s="111"/>
      <c r="P51" s="113"/>
      <c r="Q51" s="111"/>
    </row>
    <row r="52" spans="15:17" x14ac:dyDescent="0.2">
      <c r="O52" s="111"/>
      <c r="P52" s="113"/>
      <c r="Q52" s="111"/>
    </row>
    <row r="53" spans="15:17" x14ac:dyDescent="0.2">
      <c r="O53" s="111"/>
      <c r="P53" s="113"/>
      <c r="Q53" s="111"/>
    </row>
    <row r="54" spans="15:17" x14ac:dyDescent="0.2">
      <c r="O54" s="111"/>
      <c r="P54" s="113"/>
      <c r="Q54" s="111"/>
    </row>
    <row r="55" spans="15:17" x14ac:dyDescent="0.2">
      <c r="O55" s="111"/>
      <c r="P55" s="111"/>
      <c r="Q55" s="111"/>
    </row>
    <row r="56" spans="15:17" x14ac:dyDescent="0.2">
      <c r="O56" s="111"/>
      <c r="P56" s="111"/>
      <c r="Q56" s="111"/>
    </row>
    <row r="57" spans="15:17" x14ac:dyDescent="0.2">
      <c r="O57" s="111"/>
      <c r="P57" s="111"/>
      <c r="Q57" s="111"/>
    </row>
    <row r="58" spans="15:17" x14ac:dyDescent="0.2">
      <c r="O58" s="111"/>
      <c r="P58" s="111"/>
      <c r="Q58" s="111"/>
    </row>
  </sheetData>
  <mergeCells count="27">
    <mergeCell ref="F38:F42"/>
    <mergeCell ref="H38:H42"/>
    <mergeCell ref="F43:F47"/>
    <mergeCell ref="H43:H47"/>
    <mergeCell ref="H18:H22"/>
    <mergeCell ref="F23:F27"/>
    <mergeCell ref="H23:H27"/>
    <mergeCell ref="F28:F32"/>
    <mergeCell ref="H28:H32"/>
    <mergeCell ref="F33:F37"/>
    <mergeCell ref="H33:H37"/>
    <mergeCell ref="B33:B37"/>
    <mergeCell ref="B38:B42"/>
    <mergeCell ref="B43:B47"/>
    <mergeCell ref="F3:F7"/>
    <mergeCell ref="H3:H7"/>
    <mergeCell ref="F8:F12"/>
    <mergeCell ref="H8:H12"/>
    <mergeCell ref="F13:F17"/>
    <mergeCell ref="H13:H17"/>
    <mergeCell ref="F18:F22"/>
    <mergeCell ref="B3:B7"/>
    <mergeCell ref="B8:B12"/>
    <mergeCell ref="B13:B17"/>
    <mergeCell ref="B18:B22"/>
    <mergeCell ref="B23:B27"/>
    <mergeCell ref="B28:B3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13"/>
  <sheetViews>
    <sheetView zoomScale="73" zoomScaleNormal="49" workbookViewId="0">
      <selection activeCell="F2" sqref="F2:F47"/>
    </sheetView>
  </sheetViews>
  <sheetFormatPr defaultRowHeight="12.75" x14ac:dyDescent="0.2"/>
  <cols>
    <col min="2" max="2" width="15.28515625" bestFit="1" customWidth="1"/>
    <col min="3" max="3" width="8.7109375" customWidth="1"/>
    <col min="4" max="4" width="12.140625" style="2" customWidth="1"/>
    <col min="5" max="5" width="21" style="2" bestFit="1" customWidth="1"/>
    <col min="6" max="6" width="15.140625" style="31" customWidth="1"/>
    <col min="7" max="7" width="31.140625" customWidth="1"/>
    <col min="8" max="8" width="25.85546875" style="55" customWidth="1"/>
    <col min="9" max="9" width="33" customWidth="1"/>
    <col min="10" max="10" width="26.140625" customWidth="1"/>
    <col min="11" max="11" width="9.85546875" bestFit="1" customWidth="1"/>
    <col min="12" max="12" width="15.85546875" bestFit="1" customWidth="1"/>
    <col min="13" max="13" width="15.140625" bestFit="1" customWidth="1"/>
    <col min="14" max="14" width="18.28515625" bestFit="1" customWidth="1"/>
    <col min="15" max="15" width="14.28515625" style="1" bestFit="1" customWidth="1"/>
    <col min="16" max="16" width="16.7109375" bestFit="1" customWidth="1"/>
  </cols>
  <sheetData>
    <row r="1" spans="2:16" x14ac:dyDescent="0.2">
      <c r="F1"/>
    </row>
    <row r="2" spans="2:16" ht="26.25" thickBot="1" x14ac:dyDescent="0.25">
      <c r="B2" s="56" t="s">
        <v>0</v>
      </c>
      <c r="C2" s="57" t="s">
        <v>1</v>
      </c>
      <c r="D2" s="61" t="s">
        <v>15</v>
      </c>
      <c r="E2" s="61" t="s">
        <v>16</v>
      </c>
      <c r="F2" s="20" t="s">
        <v>17</v>
      </c>
      <c r="G2" s="25" t="s">
        <v>18</v>
      </c>
      <c r="H2" s="74" t="s">
        <v>19</v>
      </c>
      <c r="I2" s="26" t="s">
        <v>20</v>
      </c>
      <c r="J2" s="39" t="s">
        <v>21</v>
      </c>
      <c r="K2" s="25" t="s">
        <v>22</v>
      </c>
      <c r="L2" s="25" t="s">
        <v>23</v>
      </c>
      <c r="M2" s="26" t="s">
        <v>24</v>
      </c>
      <c r="N2" s="25" t="s">
        <v>25</v>
      </c>
      <c r="O2" s="25" t="s">
        <v>26</v>
      </c>
      <c r="P2" s="35"/>
    </row>
    <row r="3" spans="2:16" ht="12.6" customHeight="1" x14ac:dyDescent="0.2">
      <c r="B3" s="142" t="s">
        <v>5</v>
      </c>
      <c r="C3" s="18">
        <v>1</v>
      </c>
      <c r="D3" s="58">
        <v>0.40573599999999993</v>
      </c>
      <c r="E3" s="151">
        <f>AVERAGE(D3:D7)</f>
        <v>0.40609039999999996</v>
      </c>
      <c r="F3" s="42">
        <v>2889.4</v>
      </c>
      <c r="G3" s="32">
        <f>(F3)/(PI()*9)</f>
        <v>102.19162057104943</v>
      </c>
      <c r="H3" s="153">
        <f>AVERAGE(G3:G7)</f>
        <v>105.33227811472948</v>
      </c>
      <c r="I3" s="32">
        <v>2254.1435000000001</v>
      </c>
      <c r="J3" s="153">
        <f>AVERAGE(I3:I7)</f>
        <v>2243.8323</v>
      </c>
      <c r="K3" s="32">
        <v>0.99973000000000001</v>
      </c>
      <c r="L3" s="32">
        <v>2.0032999999999999E-2</v>
      </c>
      <c r="M3" s="32">
        <v>4.725E-2</v>
      </c>
      <c r="N3" s="33">
        <f>M3-L3</f>
        <v>2.7217000000000002E-2</v>
      </c>
      <c r="O3" s="37">
        <f>SQRT((L3^2)+(M3^2))</f>
        <v>5.1321375556389756E-2</v>
      </c>
      <c r="P3" s="35"/>
    </row>
    <row r="4" spans="2:16" ht="12.6" customHeight="1" x14ac:dyDescent="0.2">
      <c r="B4" s="143"/>
      <c r="C4" s="17">
        <v>2</v>
      </c>
      <c r="D4" s="59">
        <v>0.395146</v>
      </c>
      <c r="E4" s="151"/>
      <c r="F4" s="41">
        <v>2591.3000000000002</v>
      </c>
      <c r="G4" s="33">
        <f t="shared" ref="G4:G32" si="0">(F4)/(PI()*9)</f>
        <v>91.648489785339649</v>
      </c>
      <c r="H4" s="154"/>
      <c r="I4" s="33">
        <v>2078.9227999999998</v>
      </c>
      <c r="J4" s="154"/>
      <c r="K4" s="33">
        <v>0.99970000000000003</v>
      </c>
      <c r="L4" s="33">
        <v>2.2308000000000001E-2</v>
      </c>
      <c r="M4" s="33">
        <v>4.4525000000000002E-2</v>
      </c>
      <c r="N4" s="33">
        <f t="shared" ref="N4:N47" si="1">M4-L4</f>
        <v>2.2217000000000001E-2</v>
      </c>
      <c r="O4" s="37">
        <f t="shared" ref="O4:O47" si="2">SQRT((L4^2)+(M4^2))</f>
        <v>4.9800828195924615E-2</v>
      </c>
      <c r="P4" s="35"/>
    </row>
    <row r="5" spans="2:16" ht="12.6" customHeight="1" x14ac:dyDescent="0.2">
      <c r="B5" s="143"/>
      <c r="C5" s="17">
        <v>3</v>
      </c>
      <c r="D5" s="59">
        <v>0.40906200000000004</v>
      </c>
      <c r="E5" s="151"/>
      <c r="F5" s="41">
        <v>3125.8</v>
      </c>
      <c r="G5" s="33">
        <f t="shared" si="0"/>
        <v>110.55256024814366</v>
      </c>
      <c r="H5" s="154"/>
      <c r="I5" s="33">
        <v>2300.7764999999999</v>
      </c>
      <c r="J5" s="154"/>
      <c r="K5" s="33">
        <v>0.99972000000000005</v>
      </c>
      <c r="L5" s="33">
        <v>2.0657999999999999E-2</v>
      </c>
      <c r="M5" s="33">
        <v>4.5642000000000002E-2</v>
      </c>
      <c r="N5" s="33">
        <f t="shared" si="1"/>
        <v>2.4984000000000003E-2</v>
      </c>
      <c r="O5" s="37">
        <f t="shared" si="2"/>
        <v>5.009935257066702E-2</v>
      </c>
      <c r="P5" s="35"/>
    </row>
    <row r="6" spans="2:16" ht="12.6" customHeight="1" x14ac:dyDescent="0.2">
      <c r="B6" s="143"/>
      <c r="C6" s="17">
        <v>4</v>
      </c>
      <c r="D6" s="59">
        <v>0.40953000000000001</v>
      </c>
      <c r="E6" s="151"/>
      <c r="F6" s="41">
        <v>3122</v>
      </c>
      <c r="G6" s="33">
        <f t="shared" si="0"/>
        <v>110.41816274064384</v>
      </c>
      <c r="H6" s="154"/>
      <c r="I6" s="33">
        <v>2364.6684</v>
      </c>
      <c r="J6" s="154"/>
      <c r="K6" s="33">
        <v>0.99956</v>
      </c>
      <c r="L6" s="33">
        <v>1.8433000000000001E-2</v>
      </c>
      <c r="M6" s="33">
        <v>4.7316999999999998E-2</v>
      </c>
      <c r="N6" s="33">
        <f t="shared" si="1"/>
        <v>2.8883999999999996E-2</v>
      </c>
      <c r="O6" s="37">
        <f t="shared" si="2"/>
        <v>5.0780645702865966E-2</v>
      </c>
      <c r="P6" s="35"/>
    </row>
    <row r="7" spans="2:16" ht="13.5" thickBot="1" x14ac:dyDescent="0.25">
      <c r="B7" s="157"/>
      <c r="C7" s="19">
        <v>5</v>
      </c>
      <c r="D7" s="60">
        <v>0.41097799999999995</v>
      </c>
      <c r="E7" s="152"/>
      <c r="F7" s="43">
        <v>3162.5</v>
      </c>
      <c r="G7" s="34">
        <f t="shared" si="0"/>
        <v>111.85055722847089</v>
      </c>
      <c r="H7" s="155"/>
      <c r="I7" s="34">
        <v>2220.6502999999998</v>
      </c>
      <c r="J7" s="155"/>
      <c r="K7" s="34">
        <v>0.99970999999999999</v>
      </c>
      <c r="L7" s="34">
        <v>1.6750000000000001E-2</v>
      </c>
      <c r="M7" s="34">
        <v>4.7849999999999997E-2</v>
      </c>
      <c r="N7" s="34">
        <f t="shared" si="1"/>
        <v>3.1099999999999996E-2</v>
      </c>
      <c r="O7" s="38">
        <f t="shared" si="2"/>
        <v>5.0696992021223505E-2</v>
      </c>
      <c r="P7" s="35"/>
    </row>
    <row r="8" spans="2:16" ht="12.6" customHeight="1" x14ac:dyDescent="0.2">
      <c r="B8" s="142" t="s">
        <v>6</v>
      </c>
      <c r="C8" s="18">
        <v>1</v>
      </c>
      <c r="D8" s="58">
        <v>0.40600000000000003</v>
      </c>
      <c r="E8" s="151">
        <f t="shared" ref="E8" si="3">AVERAGE(D8:D12)</f>
        <v>0.39603840000000001</v>
      </c>
      <c r="F8" s="42">
        <v>3089.8</v>
      </c>
      <c r="G8" s="33">
        <f t="shared" si="0"/>
        <v>109.2793207034085</v>
      </c>
      <c r="H8" s="153">
        <f>AVERAGE(G8:G12)</f>
        <v>99.407470099895207</v>
      </c>
      <c r="I8" s="33">
        <v>2268.8036999999999</v>
      </c>
      <c r="J8" s="153">
        <f t="shared" ref="J8" si="4">AVERAGE(I8:I12)</f>
        <v>2217.6830400000003</v>
      </c>
      <c r="K8" s="33">
        <v>0.99927999999999995</v>
      </c>
      <c r="L8" s="33">
        <v>2.12E-2</v>
      </c>
      <c r="M8" s="33">
        <v>5.0075000000000001E-2</v>
      </c>
      <c r="N8" s="33">
        <f t="shared" si="1"/>
        <v>2.8875000000000001E-2</v>
      </c>
      <c r="O8" s="37">
        <f t="shared" si="2"/>
        <v>5.4377804525375981E-2</v>
      </c>
      <c r="P8" s="35"/>
    </row>
    <row r="9" spans="2:16" ht="12.6" customHeight="1" x14ac:dyDescent="0.2">
      <c r="B9" s="143"/>
      <c r="C9" s="17">
        <v>2</v>
      </c>
      <c r="D9" s="59">
        <v>0.38418399999999997</v>
      </c>
      <c r="E9" s="151"/>
      <c r="F9" s="41">
        <v>2645.8</v>
      </c>
      <c r="G9" s="33">
        <f t="shared" si="0"/>
        <v>93.576032985008155</v>
      </c>
      <c r="H9" s="154"/>
      <c r="I9" s="33">
        <v>2127.1352000000002</v>
      </c>
      <c r="J9" s="154"/>
      <c r="K9" s="33">
        <v>0.99961</v>
      </c>
      <c r="L9" s="33">
        <v>2.2866999999999998E-2</v>
      </c>
      <c r="M9" s="33">
        <v>4.5082999999999998E-2</v>
      </c>
      <c r="N9" s="33">
        <f t="shared" si="1"/>
        <v>2.2216E-2</v>
      </c>
      <c r="O9" s="37">
        <f t="shared" si="2"/>
        <v>5.0550732714768835E-2</v>
      </c>
      <c r="P9" s="35"/>
    </row>
    <row r="10" spans="2:16" ht="12.6" customHeight="1" x14ac:dyDescent="0.2">
      <c r="B10" s="143"/>
      <c r="C10" s="17">
        <v>3</v>
      </c>
      <c r="D10" s="59">
        <v>0.40056599999999998</v>
      </c>
      <c r="E10" s="151"/>
      <c r="F10" s="41">
        <v>2888.7</v>
      </c>
      <c r="G10" s="33">
        <f t="shared" si="0"/>
        <v>102.16686313545735</v>
      </c>
      <c r="H10" s="154"/>
      <c r="I10" s="33">
        <v>2303.4949999999999</v>
      </c>
      <c r="J10" s="154"/>
      <c r="K10" s="33">
        <v>0.99970000000000003</v>
      </c>
      <c r="L10" s="33">
        <v>1.5108E-2</v>
      </c>
      <c r="M10" s="33">
        <v>4.1766999999999999E-2</v>
      </c>
      <c r="N10" s="33">
        <f t="shared" si="1"/>
        <v>2.6658999999999999E-2</v>
      </c>
      <c r="O10" s="37">
        <f t="shared" si="2"/>
        <v>4.4415469748726066E-2</v>
      </c>
      <c r="P10" s="35"/>
    </row>
    <row r="11" spans="2:16" ht="12.6" customHeight="1" x14ac:dyDescent="0.2">
      <c r="B11" s="143"/>
      <c r="C11" s="17">
        <v>4</v>
      </c>
      <c r="D11" s="59">
        <v>0.399316</v>
      </c>
      <c r="E11" s="151"/>
      <c r="F11" s="41">
        <v>2721.2</v>
      </c>
      <c r="G11" s="33">
        <f t="shared" si="0"/>
        <v>96.242762475925687</v>
      </c>
      <c r="H11" s="154"/>
      <c r="I11" s="33">
        <v>2251.3656000000001</v>
      </c>
      <c r="J11" s="154"/>
      <c r="K11" s="33">
        <v>0.99955000000000005</v>
      </c>
      <c r="L11" s="33">
        <v>1.1192000000000001E-2</v>
      </c>
      <c r="M11" s="33">
        <v>3.8399999999999997E-2</v>
      </c>
      <c r="N11" s="33">
        <f t="shared" si="1"/>
        <v>2.7207999999999996E-2</v>
      </c>
      <c r="O11" s="37">
        <f t="shared" si="2"/>
        <v>3.9997760737321281E-2</v>
      </c>
      <c r="P11" s="35"/>
    </row>
    <row r="12" spans="2:16" ht="12.95" customHeight="1" thickBot="1" x14ac:dyDescent="0.25">
      <c r="B12" s="157"/>
      <c r="C12" s="19">
        <v>5</v>
      </c>
      <c r="D12" s="60">
        <v>0.39012600000000008</v>
      </c>
      <c r="E12" s="152"/>
      <c r="F12" s="27">
        <v>2707.9</v>
      </c>
      <c r="G12" s="34">
        <f t="shared" si="0"/>
        <v>95.772371199676314</v>
      </c>
      <c r="H12" s="155"/>
      <c r="I12" s="34">
        <v>2137.6156999999998</v>
      </c>
      <c r="J12" s="155"/>
      <c r="K12" s="34">
        <v>0.99951000000000001</v>
      </c>
      <c r="L12" s="34">
        <v>1.5650000000000001E-2</v>
      </c>
      <c r="M12" s="34">
        <v>4.2858E-2</v>
      </c>
      <c r="N12" s="34">
        <f t="shared" si="1"/>
        <v>2.7208E-2</v>
      </c>
      <c r="O12" s="38">
        <f t="shared" si="2"/>
        <v>4.5625986718097401E-2</v>
      </c>
      <c r="P12" s="35"/>
    </row>
    <row r="13" spans="2:16" ht="12.6" customHeight="1" x14ac:dyDescent="0.2">
      <c r="B13" s="156" t="s">
        <v>7</v>
      </c>
      <c r="C13" s="18">
        <v>1</v>
      </c>
      <c r="D13" s="58">
        <v>0.40282400000000002</v>
      </c>
      <c r="E13" s="151">
        <f t="shared" ref="E13" si="5">AVERAGE(D13:D17)</f>
        <v>0.39851999999999999</v>
      </c>
      <c r="F13" s="28">
        <v>2875.8</v>
      </c>
      <c r="G13" s="33">
        <f t="shared" si="0"/>
        <v>101.71061896526059</v>
      </c>
      <c r="H13" s="153">
        <f>AVERAGE(G13:G17)</f>
        <v>106.12310134307054</v>
      </c>
      <c r="I13" s="33">
        <v>2181.2878000000001</v>
      </c>
      <c r="J13" s="153">
        <f t="shared" ref="J13" si="6">AVERAGE(I13:I17)</f>
        <v>2260.7292000000002</v>
      </c>
      <c r="K13" s="33">
        <v>0.99958999999999998</v>
      </c>
      <c r="L13" s="33">
        <v>1.5075E-2</v>
      </c>
      <c r="M13" s="33">
        <v>4.0066999999999998E-2</v>
      </c>
      <c r="N13" s="33">
        <f t="shared" si="1"/>
        <v>2.4992E-2</v>
      </c>
      <c r="O13" s="37">
        <f t="shared" si="2"/>
        <v>4.2809112511239943E-2</v>
      </c>
      <c r="P13" s="35"/>
    </row>
    <row r="14" spans="2:16" ht="12.6" customHeight="1" x14ac:dyDescent="0.2">
      <c r="B14" s="143"/>
      <c r="C14" s="17">
        <v>2</v>
      </c>
      <c r="D14" s="59">
        <v>0.39976800000000001</v>
      </c>
      <c r="E14" s="151"/>
      <c r="F14" s="29">
        <v>2811.8</v>
      </c>
      <c r="G14" s="33">
        <f t="shared" si="0"/>
        <v>99.447081996842527</v>
      </c>
      <c r="H14" s="154"/>
      <c r="I14" s="33">
        <v>2215.1239999999998</v>
      </c>
      <c r="J14" s="154"/>
      <c r="K14" s="33">
        <v>0.99966999999999995</v>
      </c>
      <c r="L14" s="33">
        <v>1.3983000000000001E-2</v>
      </c>
      <c r="M14" s="33">
        <v>4.0625000000000001E-2</v>
      </c>
      <c r="N14" s="33">
        <f t="shared" si="1"/>
        <v>2.6641999999999999E-2</v>
      </c>
      <c r="O14" s="37">
        <f t="shared" si="2"/>
        <v>4.2964111930773111E-2</v>
      </c>
      <c r="P14" s="35"/>
    </row>
    <row r="15" spans="2:16" ht="12.6" customHeight="1" x14ac:dyDescent="0.2">
      <c r="B15" s="143"/>
      <c r="C15" s="17">
        <v>3</v>
      </c>
      <c r="D15" s="59">
        <v>0.40056599999999998</v>
      </c>
      <c r="E15" s="151"/>
      <c r="F15" s="29">
        <v>3145.5</v>
      </c>
      <c r="G15" s="33">
        <f t="shared" si="0"/>
        <v>111.24930522123485</v>
      </c>
      <c r="H15" s="154"/>
      <c r="I15" s="33">
        <v>2288.7348000000002</v>
      </c>
      <c r="J15" s="154"/>
      <c r="K15" s="33">
        <v>0.99961</v>
      </c>
      <c r="L15" s="33">
        <v>1.1192000000000001E-2</v>
      </c>
      <c r="M15" s="33">
        <v>2.1749999999999999E-2</v>
      </c>
      <c r="N15" s="33">
        <f t="shared" si="1"/>
        <v>1.0557999999999998E-2</v>
      </c>
      <c r="O15" s="37">
        <f t="shared" si="2"/>
        <v>2.4460649296369874E-2</v>
      </c>
      <c r="P15" s="35"/>
    </row>
    <row r="16" spans="2:16" ht="12.6" customHeight="1" x14ac:dyDescent="0.2">
      <c r="B16" s="143"/>
      <c r="C16" s="17">
        <v>4</v>
      </c>
      <c r="D16" s="59">
        <v>0.399316</v>
      </c>
      <c r="E16" s="151"/>
      <c r="F16" s="29">
        <v>3086.1</v>
      </c>
      <c r="G16" s="33">
        <f t="shared" si="0"/>
        <v>109.14845997242182</v>
      </c>
      <c r="H16" s="154"/>
      <c r="I16" s="33">
        <v>2254.5248999999999</v>
      </c>
      <c r="J16" s="154"/>
      <c r="K16" s="33">
        <v>0.99951999999999996</v>
      </c>
      <c r="L16" s="33">
        <v>1.2874999999999999E-2</v>
      </c>
      <c r="M16" s="33">
        <v>4.2867000000000002E-2</v>
      </c>
      <c r="N16" s="33">
        <f t="shared" si="1"/>
        <v>2.9992000000000005E-2</v>
      </c>
      <c r="O16" s="37">
        <f t="shared" si="2"/>
        <v>4.4758745670539071E-2</v>
      </c>
      <c r="P16" s="35"/>
    </row>
    <row r="17" spans="2:16" ht="12.95" customHeight="1" thickBot="1" x14ac:dyDescent="0.25">
      <c r="B17" s="157"/>
      <c r="C17" s="19">
        <v>5</v>
      </c>
      <c r="D17" s="60">
        <v>0.39012600000000008</v>
      </c>
      <c r="E17" s="152"/>
      <c r="F17" s="30">
        <v>3083.6</v>
      </c>
      <c r="G17" s="34">
        <f t="shared" si="0"/>
        <v>109.06004055959299</v>
      </c>
      <c r="H17" s="155"/>
      <c r="I17" s="34">
        <v>2363.9744999999998</v>
      </c>
      <c r="J17" s="155"/>
      <c r="K17" s="34">
        <v>0.99948999999999999</v>
      </c>
      <c r="L17" s="34">
        <v>1.1724999999999999E-2</v>
      </c>
      <c r="M17" s="34">
        <v>3.95E-2</v>
      </c>
      <c r="N17" s="34">
        <f t="shared" si="1"/>
        <v>2.7775000000000001E-2</v>
      </c>
      <c r="O17" s="38">
        <f t="shared" si="2"/>
        <v>4.1203466177009915E-2</v>
      </c>
      <c r="P17" s="35"/>
    </row>
    <row r="18" spans="2:16" ht="12.95" customHeight="1" x14ac:dyDescent="0.2">
      <c r="B18" s="156" t="s">
        <v>8</v>
      </c>
      <c r="C18" s="18">
        <v>1</v>
      </c>
      <c r="D18" s="58">
        <v>0.40566800000000003</v>
      </c>
      <c r="E18" s="151">
        <f t="shared" ref="E18" si="7">AVERAGE(D18:D22)</f>
        <v>0.40730400000000005</v>
      </c>
      <c r="F18" s="28">
        <v>3103.1</v>
      </c>
      <c r="G18" s="33">
        <f t="shared" si="0"/>
        <v>109.74971197965787</v>
      </c>
      <c r="H18" s="153">
        <f>AVERAGE(G18:G22)</f>
        <v>107.30862883027953</v>
      </c>
      <c r="I18" s="33">
        <v>2189.6590999999999</v>
      </c>
      <c r="J18" s="153">
        <f t="shared" ref="J18" si="8">AVERAGE(I18:I22)</f>
        <v>2148.8757400000004</v>
      </c>
      <c r="K18" s="33">
        <v>0.99953000000000003</v>
      </c>
      <c r="L18" s="33">
        <v>2.3408000000000002E-2</v>
      </c>
      <c r="M18" s="33">
        <v>5.0625000000000003E-2</v>
      </c>
      <c r="N18" s="33">
        <f t="shared" si="1"/>
        <v>2.7217000000000002E-2</v>
      </c>
      <c r="O18" s="37">
        <f t="shared" si="2"/>
        <v>5.5774771079763301E-2</v>
      </c>
      <c r="P18" s="35"/>
    </row>
    <row r="19" spans="2:16" ht="12.6" customHeight="1" x14ac:dyDescent="0.2">
      <c r="B19" s="143"/>
      <c r="C19" s="17">
        <v>2</v>
      </c>
      <c r="D19" s="59">
        <v>0.40675800000000006</v>
      </c>
      <c r="E19" s="151"/>
      <c r="F19" s="29">
        <v>3019.6</v>
      </c>
      <c r="G19" s="33">
        <f t="shared" si="0"/>
        <v>106.79650359117493</v>
      </c>
      <c r="H19" s="154"/>
      <c r="I19" s="33">
        <v>2058.1747</v>
      </c>
      <c r="J19" s="154"/>
      <c r="K19" s="33">
        <v>0.99965999999999999</v>
      </c>
      <c r="L19" s="33">
        <v>2.9524999999999999E-2</v>
      </c>
      <c r="M19" s="33">
        <v>5.2850000000000001E-2</v>
      </c>
      <c r="N19" s="33">
        <f t="shared" si="1"/>
        <v>2.3325000000000002E-2</v>
      </c>
      <c r="O19" s="37">
        <f t="shared" si="2"/>
        <v>6.0537989106015079E-2</v>
      </c>
      <c r="P19" s="35"/>
    </row>
    <row r="20" spans="2:16" ht="12.6" customHeight="1" x14ac:dyDescent="0.2">
      <c r="B20" s="143"/>
      <c r="C20" s="17">
        <v>3</v>
      </c>
      <c r="D20" s="59">
        <v>0.40732799999999997</v>
      </c>
      <c r="E20" s="151"/>
      <c r="F20" s="29">
        <v>2894.3</v>
      </c>
      <c r="G20" s="33">
        <f t="shared" si="0"/>
        <v>102.36492262019394</v>
      </c>
      <c r="H20" s="154"/>
      <c r="I20" s="33">
        <v>2237.5747000000001</v>
      </c>
      <c r="J20" s="154"/>
      <c r="K20" s="33">
        <v>0.99941000000000002</v>
      </c>
      <c r="L20" s="33">
        <v>1.7291999999999998E-2</v>
      </c>
      <c r="M20" s="33">
        <v>4.4499999999999998E-2</v>
      </c>
      <c r="N20" s="33">
        <f t="shared" si="1"/>
        <v>2.7208E-2</v>
      </c>
      <c r="O20" s="37">
        <f t="shared" si="2"/>
        <v>4.7741630303122243E-2</v>
      </c>
      <c r="P20" s="35"/>
    </row>
    <row r="21" spans="2:16" ht="12.6" customHeight="1" x14ac:dyDescent="0.2">
      <c r="B21" s="143"/>
      <c r="C21" s="17">
        <v>4</v>
      </c>
      <c r="D21" s="59">
        <v>0.40720400000000001</v>
      </c>
      <c r="E21" s="151"/>
      <c r="F21" s="29">
        <v>3048.5</v>
      </c>
      <c r="G21" s="33">
        <f t="shared" si="0"/>
        <v>107.81863200347621</v>
      </c>
      <c r="H21" s="154"/>
      <c r="I21" s="33">
        <v>2171.9481000000001</v>
      </c>
      <c r="J21" s="154"/>
      <c r="K21" s="33">
        <v>0.99933000000000005</v>
      </c>
      <c r="L21" s="33">
        <v>1.9525000000000001E-2</v>
      </c>
      <c r="M21" s="33">
        <v>4.7857999999999998E-2</v>
      </c>
      <c r="N21" s="33">
        <f t="shared" si="1"/>
        <v>2.8332999999999997E-2</v>
      </c>
      <c r="O21" s="37">
        <f t="shared" si="2"/>
        <v>5.1687656060223894E-2</v>
      </c>
      <c r="P21" s="35"/>
    </row>
    <row r="22" spans="2:16" ht="12.95" customHeight="1" thickBot="1" x14ac:dyDescent="0.25">
      <c r="B22" s="157"/>
      <c r="C22" s="19">
        <v>5</v>
      </c>
      <c r="D22" s="60">
        <v>0.40956200000000004</v>
      </c>
      <c r="E22" s="152"/>
      <c r="F22" s="30">
        <v>3104.9</v>
      </c>
      <c r="G22" s="34">
        <f>(F22)/(PI()*9)</f>
        <v>109.81337395689464</v>
      </c>
      <c r="H22" s="155"/>
      <c r="I22" s="34">
        <v>2087.0221000000001</v>
      </c>
      <c r="J22" s="155"/>
      <c r="K22" s="34">
        <v>0.99955000000000005</v>
      </c>
      <c r="L22" s="34">
        <v>2.7324999999999999E-2</v>
      </c>
      <c r="M22" s="34">
        <v>5.3407999999999997E-2</v>
      </c>
      <c r="N22" s="34">
        <f t="shared" si="1"/>
        <v>2.6082999999999999E-2</v>
      </c>
      <c r="O22" s="38">
        <f t="shared" si="2"/>
        <v>5.9992250241176978E-2</v>
      </c>
      <c r="P22" s="35"/>
    </row>
    <row r="23" spans="2:16" ht="12.6" customHeight="1" x14ac:dyDescent="0.2">
      <c r="B23" s="156" t="s">
        <v>9</v>
      </c>
      <c r="C23" s="18">
        <v>1</v>
      </c>
      <c r="D23" s="58">
        <v>0.40492800000000007</v>
      </c>
      <c r="E23" s="151">
        <f t="shared" ref="E23" si="9">AVERAGE(D23:D27)</f>
        <v>0.40413519999999997</v>
      </c>
      <c r="F23" s="28">
        <v>3292.6</v>
      </c>
      <c r="G23" s="32">
        <f t="shared" si="0"/>
        <v>116.45190347208325</v>
      </c>
      <c r="H23" s="153">
        <f>AVERAGE(G23:G27)</f>
        <v>111.45160883778719</v>
      </c>
      <c r="I23" s="36">
        <v>2239.2710999999999</v>
      </c>
      <c r="J23" s="153">
        <f t="shared" ref="J23" si="10">AVERAGE(I23:I27)</f>
        <v>2213.2976200000003</v>
      </c>
      <c r="K23" s="32">
        <v>0.99951999999999996</v>
      </c>
      <c r="L23" s="32">
        <v>3.3992000000000001E-2</v>
      </c>
      <c r="M23" s="33">
        <v>5.6750000000000002E-2</v>
      </c>
      <c r="N23" s="33">
        <f t="shared" si="1"/>
        <v>2.2758E-2</v>
      </c>
      <c r="O23" s="37">
        <f t="shared" si="2"/>
        <v>6.6151481948630603E-2</v>
      </c>
      <c r="P23" s="35"/>
    </row>
    <row r="24" spans="2:16" ht="12.6" customHeight="1" x14ac:dyDescent="0.2">
      <c r="B24" s="143"/>
      <c r="C24" s="17">
        <v>2</v>
      </c>
      <c r="D24" s="59">
        <v>0.402478</v>
      </c>
      <c r="E24" s="151"/>
      <c r="F24" s="29">
        <v>3235.1</v>
      </c>
      <c r="G24" s="33">
        <f t="shared" si="0"/>
        <v>114.41825697702014</v>
      </c>
      <c r="H24" s="154"/>
      <c r="I24" s="37">
        <v>2244.3519000000001</v>
      </c>
      <c r="J24" s="154"/>
      <c r="K24" s="33">
        <v>0.99953999999999998</v>
      </c>
      <c r="L24" s="33">
        <v>3.9516999999999997E-2</v>
      </c>
      <c r="M24" s="33">
        <v>6.1183000000000001E-2</v>
      </c>
      <c r="N24" s="33">
        <f t="shared" si="1"/>
        <v>2.1666000000000005E-2</v>
      </c>
      <c r="O24" s="37">
        <f t="shared" si="2"/>
        <v>7.2835106768645574E-2</v>
      </c>
      <c r="P24" s="35"/>
    </row>
    <row r="25" spans="2:16" ht="12.6" customHeight="1" x14ac:dyDescent="0.2">
      <c r="B25" s="143"/>
      <c r="C25" s="17">
        <v>3</v>
      </c>
      <c r="D25" s="59">
        <v>0.406302</v>
      </c>
      <c r="E25" s="151"/>
      <c r="F25" s="29">
        <v>3267.2</v>
      </c>
      <c r="G25" s="33">
        <f t="shared" si="0"/>
        <v>115.55356223774231</v>
      </c>
      <c r="H25" s="154"/>
      <c r="I25" s="37">
        <v>2132.0657999999999</v>
      </c>
      <c r="J25" s="154"/>
      <c r="K25" s="33">
        <v>0.99953000000000003</v>
      </c>
      <c r="L25" s="33">
        <v>4.2292000000000003E-2</v>
      </c>
      <c r="M25" s="33">
        <v>6.2274999999999997E-2</v>
      </c>
      <c r="N25" s="33">
        <f t="shared" si="1"/>
        <v>1.9982999999999994E-2</v>
      </c>
      <c r="O25" s="37">
        <f t="shared" si="2"/>
        <v>7.5278077080913802E-2</v>
      </c>
      <c r="P25" s="35"/>
    </row>
    <row r="26" spans="2:16" ht="12.6" customHeight="1" x14ac:dyDescent="0.2">
      <c r="B26" s="143"/>
      <c r="C26" s="17">
        <v>4</v>
      </c>
      <c r="D26" s="59">
        <v>0.40344400000000002</v>
      </c>
      <c r="E26" s="151"/>
      <c r="F26" s="29">
        <v>2734.1</v>
      </c>
      <c r="G26" s="33">
        <f t="shared" si="0"/>
        <v>96.699006646122456</v>
      </c>
      <c r="H26" s="154"/>
      <c r="I26" s="37">
        <v>2232.6026000000002</v>
      </c>
      <c r="J26" s="154"/>
      <c r="K26" s="33">
        <v>0.99948000000000004</v>
      </c>
      <c r="L26" s="33">
        <v>2.4507999999999999E-2</v>
      </c>
      <c r="M26" s="33">
        <v>4.7282999999999999E-2</v>
      </c>
      <c r="N26" s="33">
        <f t="shared" si="1"/>
        <v>2.2775E-2</v>
      </c>
      <c r="O26" s="37">
        <f t="shared" si="2"/>
        <v>5.3257151191178069E-2</v>
      </c>
      <c r="P26" s="35"/>
    </row>
    <row r="27" spans="2:16" ht="12.95" customHeight="1" thickBot="1" x14ac:dyDescent="0.25">
      <c r="B27" s="157"/>
      <c r="C27" s="19">
        <v>5</v>
      </c>
      <c r="D27" s="60">
        <v>0.40352399999999999</v>
      </c>
      <c r="E27" s="152"/>
      <c r="F27" s="30">
        <v>3227.1</v>
      </c>
      <c r="G27" s="34">
        <f t="shared" si="0"/>
        <v>114.13531485596788</v>
      </c>
      <c r="H27" s="155"/>
      <c r="I27" s="38">
        <v>2218.1967</v>
      </c>
      <c r="J27" s="155"/>
      <c r="K27" s="34">
        <v>0.99941999999999998</v>
      </c>
      <c r="L27" s="34">
        <v>3.7275000000000003E-2</v>
      </c>
      <c r="M27" s="34">
        <v>6.1717000000000001E-2</v>
      </c>
      <c r="N27" s="34">
        <f t="shared" si="1"/>
        <v>2.4441999999999998E-2</v>
      </c>
      <c r="O27" s="38">
        <f t="shared" si="2"/>
        <v>7.2100025755889988E-2</v>
      </c>
      <c r="P27" s="35"/>
    </row>
    <row r="28" spans="2:16" ht="12.6" customHeight="1" x14ac:dyDescent="0.2">
      <c r="B28" s="156" t="s">
        <v>11</v>
      </c>
      <c r="C28" s="18">
        <v>1</v>
      </c>
      <c r="D28" s="47">
        <v>0.40792</v>
      </c>
      <c r="E28" s="151">
        <f>AVERAGE(D28:D32)</f>
        <v>0.41264600000000007</v>
      </c>
      <c r="F28" s="28">
        <v>2984.7</v>
      </c>
      <c r="G28" s="33">
        <f t="shared" si="0"/>
        <v>105.56216858808445</v>
      </c>
      <c r="H28" s="153">
        <f>AVERAGE(G28:G32)</f>
        <v>107.51871335516083</v>
      </c>
      <c r="I28" s="33">
        <v>2140.0369999999998</v>
      </c>
      <c r="J28" s="153">
        <f t="shared" ref="J28" si="11">AVERAGE(I28:I32)</f>
        <v>2252.8918199999998</v>
      </c>
      <c r="K28" s="33">
        <v>0.99963999999999997</v>
      </c>
      <c r="L28" s="33">
        <v>2.2875E-2</v>
      </c>
      <c r="M28" s="33">
        <v>4.5642000000000002E-2</v>
      </c>
      <c r="N28" s="33">
        <f t="shared" si="1"/>
        <v>2.2767000000000003E-2</v>
      </c>
      <c r="O28" s="37">
        <f t="shared" si="2"/>
        <v>5.1053479695315575E-2</v>
      </c>
      <c r="P28" s="35"/>
    </row>
    <row r="29" spans="2:16" ht="12.6" customHeight="1" x14ac:dyDescent="0.2">
      <c r="B29" s="143"/>
      <c r="C29" s="17">
        <v>2</v>
      </c>
      <c r="D29" s="48">
        <v>0.41549999999999998</v>
      </c>
      <c r="E29" s="151"/>
      <c r="F29" s="29">
        <v>3211</v>
      </c>
      <c r="G29" s="33">
        <f t="shared" si="0"/>
        <v>113.5658938373502</v>
      </c>
      <c r="H29" s="154"/>
      <c r="I29" s="33">
        <v>2389.9801000000002</v>
      </c>
      <c r="J29" s="154"/>
      <c r="K29" s="33">
        <v>0.99960000000000004</v>
      </c>
      <c r="L29" s="33">
        <v>2.0650000000000002E-2</v>
      </c>
      <c r="M29" s="33">
        <v>4.7300000000000002E-2</v>
      </c>
      <c r="N29" s="33">
        <f t="shared" si="1"/>
        <v>2.665E-2</v>
      </c>
      <c r="O29" s="37">
        <f t="shared" si="2"/>
        <v>5.1611166427431195E-2</v>
      </c>
      <c r="P29" s="35"/>
    </row>
    <row r="30" spans="2:16" ht="12.6" customHeight="1" x14ac:dyDescent="0.2">
      <c r="B30" s="143"/>
      <c r="C30" s="17">
        <v>3</v>
      </c>
      <c r="D30" s="48">
        <v>0.41360999999999998</v>
      </c>
      <c r="E30" s="151"/>
      <c r="F30" s="29">
        <v>3164.1</v>
      </c>
      <c r="G30" s="33">
        <f t="shared" si="0"/>
        <v>111.90714565268134</v>
      </c>
      <c r="H30" s="154"/>
      <c r="I30" s="33">
        <v>2342.8494000000001</v>
      </c>
      <c r="J30" s="154"/>
      <c r="K30" s="33">
        <v>0.99943000000000004</v>
      </c>
      <c r="L30" s="33">
        <v>1.3424999999999999E-2</v>
      </c>
      <c r="M30" s="33">
        <v>4.3416999999999997E-2</v>
      </c>
      <c r="N30" s="33">
        <f t="shared" si="1"/>
        <v>2.9991999999999998E-2</v>
      </c>
      <c r="O30" s="37">
        <f t="shared" si="2"/>
        <v>4.5445203421263278E-2</v>
      </c>
      <c r="P30" s="35"/>
    </row>
    <row r="31" spans="2:16" ht="12.6" customHeight="1" x14ac:dyDescent="0.2">
      <c r="B31" s="143"/>
      <c r="C31" s="17">
        <v>4</v>
      </c>
      <c r="D31" s="48">
        <v>0.41338000000000003</v>
      </c>
      <c r="E31" s="151"/>
      <c r="F31" s="29">
        <v>3083.4</v>
      </c>
      <c r="G31" s="33">
        <f t="shared" si="0"/>
        <v>109.05296700656669</v>
      </c>
      <c r="H31" s="154"/>
      <c r="I31" s="33">
        <v>2219.2404000000001</v>
      </c>
      <c r="J31" s="154"/>
      <c r="K31" s="33">
        <v>0.99956</v>
      </c>
      <c r="L31" s="33">
        <v>1.8974999999999999E-2</v>
      </c>
      <c r="M31" s="33">
        <v>4.7308000000000003E-2</v>
      </c>
      <c r="N31" s="33">
        <f t="shared" si="1"/>
        <v>2.8333000000000004E-2</v>
      </c>
      <c r="O31" s="37">
        <f t="shared" si="2"/>
        <v>5.0971536066710801E-2</v>
      </c>
      <c r="P31" s="35"/>
    </row>
    <row r="32" spans="2:16" ht="13.5" thickBot="1" x14ac:dyDescent="0.25">
      <c r="B32" s="157"/>
      <c r="C32" s="19">
        <v>5</v>
      </c>
      <c r="D32" s="49">
        <v>0.41282000000000002</v>
      </c>
      <c r="E32" s="152"/>
      <c r="F32" s="40">
        <v>2756.9</v>
      </c>
      <c r="G32" s="34">
        <f t="shared" si="0"/>
        <v>97.505391691121403</v>
      </c>
      <c r="H32" s="155"/>
      <c r="I32" s="34">
        <v>2172.3521999999998</v>
      </c>
      <c r="J32" s="155"/>
      <c r="K32" s="34">
        <v>0.99948999999999999</v>
      </c>
      <c r="L32" s="34">
        <v>1.8416999999999999E-2</v>
      </c>
      <c r="M32" s="34">
        <v>4.0649999999999999E-2</v>
      </c>
      <c r="N32" s="34">
        <f t="shared" si="1"/>
        <v>2.2232999999999999E-2</v>
      </c>
      <c r="O32" s="38">
        <f t="shared" si="2"/>
        <v>4.4627439866073426E-2</v>
      </c>
      <c r="P32" s="35"/>
    </row>
    <row r="33" spans="2:16" ht="12.6" customHeight="1" x14ac:dyDescent="0.2">
      <c r="B33" s="156" t="s">
        <v>12</v>
      </c>
      <c r="C33" s="18">
        <v>1</v>
      </c>
      <c r="D33" s="58">
        <v>0.40411000000000002</v>
      </c>
      <c r="E33" s="151">
        <f t="shared" ref="E33" si="12">AVERAGE(D33:D37)</f>
        <v>0.40339600000000003</v>
      </c>
      <c r="F33" s="28">
        <v>3148.4</v>
      </c>
      <c r="G33" s="33">
        <f>(F33/(PI()*9))</f>
        <v>111.35187174011629</v>
      </c>
      <c r="H33" s="153">
        <f>AVERAGE(G33:G37)</f>
        <v>107.04549265770092</v>
      </c>
      <c r="I33" s="33">
        <v>2334.3094000000001</v>
      </c>
      <c r="J33" s="153">
        <f t="shared" ref="J33" si="13">AVERAGE(I33:I37)</f>
        <v>2247.7364200000002</v>
      </c>
      <c r="K33" s="33">
        <v>0.99950000000000006</v>
      </c>
      <c r="L33" s="33">
        <v>1.3942E-2</v>
      </c>
      <c r="M33" s="33">
        <v>4.2825000000000002E-2</v>
      </c>
      <c r="N33" s="33">
        <f t="shared" si="1"/>
        <v>2.8883000000000002E-2</v>
      </c>
      <c r="O33" s="37">
        <f t="shared" si="2"/>
        <v>4.5037317737627314E-2</v>
      </c>
      <c r="P33" s="35"/>
    </row>
    <row r="34" spans="2:16" ht="12.6" customHeight="1" x14ac:dyDescent="0.2">
      <c r="B34" s="143"/>
      <c r="C34" s="17">
        <v>2</v>
      </c>
      <c r="D34" s="59">
        <v>0.40295599999999998</v>
      </c>
      <c r="E34" s="151"/>
      <c r="F34" s="29">
        <v>2811.8</v>
      </c>
      <c r="G34" s="33">
        <f t="shared" ref="G34:G47" si="14">(F34/(PI()*9))</f>
        <v>99.447081996842527</v>
      </c>
      <c r="H34" s="154"/>
      <c r="I34" s="33">
        <v>2215.1239999999998</v>
      </c>
      <c r="J34" s="154"/>
      <c r="K34" s="33">
        <v>0.99966999999999995</v>
      </c>
      <c r="L34" s="33">
        <v>1.3983000000000001E-2</v>
      </c>
      <c r="M34" s="33">
        <v>4.0625000000000001E-2</v>
      </c>
      <c r="N34" s="33">
        <f t="shared" si="1"/>
        <v>2.6641999999999999E-2</v>
      </c>
      <c r="O34" s="37">
        <f t="shared" si="2"/>
        <v>4.2964111930773111E-2</v>
      </c>
      <c r="P34" s="35"/>
    </row>
    <row r="35" spans="2:16" ht="12.6" customHeight="1" x14ac:dyDescent="0.2">
      <c r="B35" s="143"/>
      <c r="C35" s="17">
        <v>3</v>
      </c>
      <c r="D35" s="59">
        <v>0.40301799999999999</v>
      </c>
      <c r="E35" s="151"/>
      <c r="F35" s="29">
        <v>3016</v>
      </c>
      <c r="G35" s="33">
        <f t="shared" si="14"/>
        <v>106.66917963670141</v>
      </c>
      <c r="H35" s="154"/>
      <c r="I35" s="33">
        <v>2065.8382000000001</v>
      </c>
      <c r="J35" s="154"/>
      <c r="K35" s="33">
        <v>0.99946000000000002</v>
      </c>
      <c r="L35" s="33">
        <v>1.7308E-2</v>
      </c>
      <c r="M35" s="33">
        <v>4.6741999999999999E-2</v>
      </c>
      <c r="N35" s="33">
        <f t="shared" si="1"/>
        <v>2.9433999999999998E-2</v>
      </c>
      <c r="O35" s="37">
        <f t="shared" si="2"/>
        <v>4.9843569575222034E-2</v>
      </c>
      <c r="P35" s="35"/>
    </row>
    <row r="36" spans="2:16" ht="12.6" customHeight="1" x14ac:dyDescent="0.2">
      <c r="B36" s="143"/>
      <c r="C36" s="17">
        <v>4</v>
      </c>
      <c r="D36" s="59">
        <v>0.40387399999999996</v>
      </c>
      <c r="E36" s="151"/>
      <c r="F36" s="29">
        <v>3076.3</v>
      </c>
      <c r="G36" s="33">
        <f t="shared" si="14"/>
        <v>108.80185587413281</v>
      </c>
      <c r="H36" s="154"/>
      <c r="I36" s="33">
        <v>2337.2161000000001</v>
      </c>
      <c r="J36" s="154"/>
      <c r="K36" s="33">
        <v>0.99955000000000005</v>
      </c>
      <c r="L36" s="33">
        <v>1.0633E-2</v>
      </c>
      <c r="M36" s="33">
        <v>3.8975000000000003E-2</v>
      </c>
      <c r="N36" s="33">
        <f t="shared" si="1"/>
        <v>2.8342000000000003E-2</v>
      </c>
      <c r="O36" s="37">
        <f t="shared" si="2"/>
        <v>4.0399397446001593E-2</v>
      </c>
      <c r="P36" s="35"/>
    </row>
    <row r="37" spans="2:16" ht="12.95" customHeight="1" thickBot="1" x14ac:dyDescent="0.25">
      <c r="B37" s="157"/>
      <c r="C37" s="19">
        <v>5</v>
      </c>
      <c r="D37" s="60">
        <v>0.40302199999999999</v>
      </c>
      <c r="E37" s="152"/>
      <c r="F37" s="40">
        <v>3080.7</v>
      </c>
      <c r="G37" s="38">
        <f t="shared" si="14"/>
        <v>108.95747404071155</v>
      </c>
      <c r="H37" s="155"/>
      <c r="I37" s="34">
        <v>2286.1943999999999</v>
      </c>
      <c r="J37" s="155"/>
      <c r="K37" s="34">
        <v>0.99968999999999997</v>
      </c>
      <c r="L37" s="34">
        <v>1.2858E-2</v>
      </c>
      <c r="M37" s="34">
        <v>4.1182999999999997E-2</v>
      </c>
      <c r="N37" s="34">
        <f t="shared" si="1"/>
        <v>2.8324999999999996E-2</v>
      </c>
      <c r="O37" s="38">
        <f t="shared" si="2"/>
        <v>4.3143570239376337E-2</v>
      </c>
      <c r="P37" s="35"/>
    </row>
    <row r="38" spans="2:16" ht="12.6" customHeight="1" x14ac:dyDescent="0.2">
      <c r="B38" s="156" t="s">
        <v>13</v>
      </c>
      <c r="C38" s="18">
        <v>1</v>
      </c>
      <c r="D38" s="58">
        <v>0.38134400000000002</v>
      </c>
      <c r="E38" s="151">
        <f>AVERAGE(D38:D42)</f>
        <v>0.4024972</v>
      </c>
      <c r="F38" s="28">
        <v>1565.8</v>
      </c>
      <c r="G38" s="33">
        <f t="shared" si="14"/>
        <v>55.37884664295327</v>
      </c>
      <c r="H38" s="153">
        <f>AVERAGE(G38:G42)</f>
        <v>101.48426526841878</v>
      </c>
      <c r="I38" s="33">
        <v>1824.9129</v>
      </c>
      <c r="J38" s="153">
        <f>AVERAGE(I38:I42)</f>
        <v>2280.25578</v>
      </c>
      <c r="K38" s="33">
        <v>0.99948000000000004</v>
      </c>
      <c r="L38" s="33">
        <v>1.9654000000000001E-2</v>
      </c>
      <c r="M38" s="33">
        <v>4.3563999999999999E-2</v>
      </c>
      <c r="N38" s="33">
        <f t="shared" si="1"/>
        <v>2.3909999999999997E-2</v>
      </c>
      <c r="O38" s="37">
        <f>SQRT((L38^2)+(M38^2))</f>
        <v>4.7792277744422268E-2</v>
      </c>
      <c r="P38" s="35"/>
    </row>
    <row r="39" spans="2:16" ht="12.6" customHeight="1" x14ac:dyDescent="0.2">
      <c r="B39" s="143"/>
      <c r="C39" s="17">
        <v>2</v>
      </c>
      <c r="D39" s="59">
        <v>0.40822600000000009</v>
      </c>
      <c r="E39" s="151"/>
      <c r="F39" s="29">
        <v>3109</v>
      </c>
      <c r="G39" s="33">
        <f t="shared" si="14"/>
        <v>109.95838179393391</v>
      </c>
      <c r="H39" s="154"/>
      <c r="I39" s="33">
        <v>2378.3928999999998</v>
      </c>
      <c r="J39" s="154"/>
      <c r="K39" s="33">
        <v>0.99965000000000004</v>
      </c>
      <c r="L39" s="33">
        <v>1.2307999999999999E-2</v>
      </c>
      <c r="M39" s="33">
        <v>4.1191999999999999E-2</v>
      </c>
      <c r="N39" s="33">
        <f t="shared" si="1"/>
        <v>2.8884E-2</v>
      </c>
      <c r="O39" s="37">
        <f t="shared" si="2"/>
        <v>4.2991484366092778E-2</v>
      </c>
      <c r="P39" s="35"/>
    </row>
    <row r="40" spans="2:16" ht="12.6" customHeight="1" x14ac:dyDescent="0.2">
      <c r="B40" s="143"/>
      <c r="C40" s="17">
        <v>3</v>
      </c>
      <c r="D40" s="59">
        <v>0.407916</v>
      </c>
      <c r="E40" s="151"/>
      <c r="F40" s="29">
        <v>3248.9</v>
      </c>
      <c r="G40" s="33">
        <f t="shared" si="14"/>
        <v>114.90633213583529</v>
      </c>
      <c r="H40" s="154"/>
      <c r="I40" s="33">
        <v>2403.0450000000001</v>
      </c>
      <c r="J40" s="154"/>
      <c r="K40" s="33">
        <v>0.99951999999999996</v>
      </c>
      <c r="L40" s="33">
        <v>1.4525E-2</v>
      </c>
      <c r="M40" s="33">
        <v>4.4525000000000002E-2</v>
      </c>
      <c r="N40" s="33">
        <f t="shared" si="1"/>
        <v>3.0000000000000002E-2</v>
      </c>
      <c r="O40" s="37">
        <f t="shared" si="2"/>
        <v>4.6834295660338483E-2</v>
      </c>
      <c r="P40" s="35"/>
    </row>
    <row r="41" spans="2:16" ht="12.6" customHeight="1" x14ac:dyDescent="0.2">
      <c r="B41" s="143"/>
      <c r="C41" s="17">
        <v>4</v>
      </c>
      <c r="D41" s="59">
        <v>0.40850799999999998</v>
      </c>
      <c r="E41" s="151"/>
      <c r="F41" s="29">
        <v>3225.9</v>
      </c>
      <c r="G41" s="33">
        <f t="shared" si="14"/>
        <v>114.09287353781005</v>
      </c>
      <c r="H41" s="154"/>
      <c r="I41" s="33">
        <v>2370.9164999999998</v>
      </c>
      <c r="J41" s="154"/>
      <c r="K41" s="33">
        <v>0.99944999999999995</v>
      </c>
      <c r="L41" s="33">
        <v>1.4525E-2</v>
      </c>
      <c r="M41" s="33">
        <v>4.6207999999999999E-2</v>
      </c>
      <c r="N41" s="33">
        <f t="shared" si="1"/>
        <v>3.1683000000000003E-2</v>
      </c>
      <c r="O41" s="37">
        <f t="shared" si="2"/>
        <v>4.8437123046275156E-2</v>
      </c>
      <c r="P41" s="35"/>
    </row>
    <row r="42" spans="2:16" ht="12.95" customHeight="1" thickBot="1" x14ac:dyDescent="0.25">
      <c r="B42" s="157"/>
      <c r="C42" s="19">
        <v>5</v>
      </c>
      <c r="D42" s="60">
        <v>0.40649199999999996</v>
      </c>
      <c r="E42" s="152"/>
      <c r="F42" s="29">
        <v>3197.4</v>
      </c>
      <c r="G42" s="34">
        <f t="shared" si="14"/>
        <v>113.08489223156137</v>
      </c>
      <c r="H42" s="155"/>
      <c r="I42" s="34">
        <v>2424.0115999999998</v>
      </c>
      <c r="J42" s="155"/>
      <c r="K42" s="34">
        <v>0.99951999999999996</v>
      </c>
      <c r="L42" s="34">
        <v>1.4541999999999999E-2</v>
      </c>
      <c r="M42" s="34">
        <v>4.3983000000000001E-2</v>
      </c>
      <c r="N42" s="34">
        <f t="shared" si="1"/>
        <v>2.9441000000000002E-2</v>
      </c>
      <c r="O42" s="38">
        <f t="shared" si="2"/>
        <v>4.6324659232421773E-2</v>
      </c>
      <c r="P42" s="35"/>
    </row>
    <row r="43" spans="2:16" ht="12.6" customHeight="1" x14ac:dyDescent="0.2">
      <c r="B43" s="156" t="s">
        <v>14</v>
      </c>
      <c r="C43" s="18">
        <v>1</v>
      </c>
      <c r="D43" s="58">
        <v>0.41536400000000001</v>
      </c>
      <c r="E43" s="151">
        <f t="shared" ref="E43" si="15">AVERAGE(D43:D47)</f>
        <v>0.41448439999999998</v>
      </c>
      <c r="F43" s="29">
        <v>3378.8</v>
      </c>
      <c r="G43" s="33">
        <f t="shared" si="14"/>
        <v>119.50060482642134</v>
      </c>
      <c r="H43" s="153">
        <f t="shared" ref="H43" si="16">AVERAGE(G43:G47)</f>
        <v>115.075390053164</v>
      </c>
      <c r="I43" s="33">
        <v>2224.1801999999998</v>
      </c>
      <c r="J43" s="153">
        <f t="shared" ref="J43" si="17">AVERAGE(I43:I47)</f>
        <v>2252.6977399999996</v>
      </c>
      <c r="K43" s="33">
        <v>0.99965999999999999</v>
      </c>
      <c r="L43" s="33">
        <v>4.3966999999999999E-2</v>
      </c>
      <c r="M43" s="33">
        <v>6.8974999999999995E-2</v>
      </c>
      <c r="N43" s="33">
        <f t="shared" si="1"/>
        <v>2.5007999999999996E-2</v>
      </c>
      <c r="O43" s="37">
        <f t="shared" si="2"/>
        <v>8.1796379589808246E-2</v>
      </c>
      <c r="P43" s="35"/>
    </row>
    <row r="44" spans="2:16" ht="12.6" customHeight="1" x14ac:dyDescent="0.2">
      <c r="B44" s="143"/>
      <c r="C44" s="17">
        <v>2</v>
      </c>
      <c r="D44" s="59">
        <v>0.41532799999999997</v>
      </c>
      <c r="E44" s="151"/>
      <c r="F44" s="29">
        <v>3267.9</v>
      </c>
      <c r="G44" s="33">
        <f t="shared" si="14"/>
        <v>115.57831967333441</v>
      </c>
      <c r="H44" s="154"/>
      <c r="I44" s="33">
        <v>2324.3728999999998</v>
      </c>
      <c r="J44" s="154"/>
      <c r="K44" s="33">
        <v>0.99933000000000005</v>
      </c>
      <c r="L44" s="33">
        <v>1.5633000000000001E-2</v>
      </c>
      <c r="M44" s="33">
        <v>3.0082999999999999E-2</v>
      </c>
      <c r="N44" s="33">
        <f t="shared" si="1"/>
        <v>1.4449999999999998E-2</v>
      </c>
      <c r="O44" s="45">
        <f t="shared" si="2"/>
        <v>3.3902471561819796E-2</v>
      </c>
      <c r="P44" s="35"/>
    </row>
    <row r="45" spans="2:16" ht="12.6" customHeight="1" x14ac:dyDescent="0.2">
      <c r="B45" s="143"/>
      <c r="C45" s="17">
        <v>3</v>
      </c>
      <c r="D45" s="59">
        <v>0.414192</v>
      </c>
      <c r="E45" s="151"/>
      <c r="F45" s="29">
        <v>3223.5</v>
      </c>
      <c r="G45" s="33">
        <f t="shared" si="14"/>
        <v>114.00799090149437</v>
      </c>
      <c r="H45" s="154"/>
      <c r="I45" s="33">
        <v>2287.7366999999999</v>
      </c>
      <c r="J45" s="154"/>
      <c r="K45" s="33">
        <v>0.99955000000000005</v>
      </c>
      <c r="L45" s="33">
        <v>3.5624999999999997E-2</v>
      </c>
      <c r="M45" s="33">
        <v>6.3950000000000007E-2</v>
      </c>
      <c r="N45" s="33">
        <f t="shared" si="1"/>
        <v>2.832500000000001E-2</v>
      </c>
      <c r="O45" s="37">
        <f t="shared" si="2"/>
        <v>7.3203436565505584E-2</v>
      </c>
      <c r="P45" s="35"/>
    </row>
    <row r="46" spans="2:16" ht="12.6" customHeight="1" x14ac:dyDescent="0.2">
      <c r="B46" s="143"/>
      <c r="C46" s="17">
        <v>4</v>
      </c>
      <c r="D46" s="59">
        <v>0.41348799999999997</v>
      </c>
      <c r="E46" s="151"/>
      <c r="F46" s="29">
        <v>3187.1</v>
      </c>
      <c r="G46" s="33">
        <f t="shared" si="14"/>
        <v>112.72060425070659</v>
      </c>
      <c r="H46" s="154"/>
      <c r="I46" s="33">
        <v>2239.8467000000001</v>
      </c>
      <c r="J46" s="154"/>
      <c r="K46" s="33">
        <v>0.99951999999999996</v>
      </c>
      <c r="L46" s="33">
        <v>3.73E-2</v>
      </c>
      <c r="M46" s="33">
        <v>6.5625000000000003E-2</v>
      </c>
      <c r="N46" s="33">
        <f t="shared" si="1"/>
        <v>2.8325000000000003E-2</v>
      </c>
      <c r="O46" s="37">
        <f t="shared" si="2"/>
        <v>7.54846383378764E-2</v>
      </c>
      <c r="P46" s="35"/>
    </row>
    <row r="47" spans="2:16" ht="12.95" customHeight="1" thickBot="1" x14ac:dyDescent="0.25">
      <c r="B47" s="157"/>
      <c r="C47" s="19">
        <v>5</v>
      </c>
      <c r="D47" s="60">
        <v>0.41405000000000003</v>
      </c>
      <c r="E47" s="152"/>
      <c r="F47" s="40">
        <v>3211.1</v>
      </c>
      <c r="G47" s="34">
        <f t="shared" si="14"/>
        <v>113.56943061386336</v>
      </c>
      <c r="H47" s="155"/>
      <c r="I47" s="34">
        <v>2187.3521999999998</v>
      </c>
      <c r="J47" s="155"/>
      <c r="K47" s="34">
        <v>0.99939999999999996</v>
      </c>
      <c r="L47" s="34">
        <v>3.1208E-2</v>
      </c>
      <c r="M47" s="34">
        <v>4.1758000000000003E-2</v>
      </c>
      <c r="N47" s="34">
        <f t="shared" si="1"/>
        <v>1.0550000000000004E-2</v>
      </c>
      <c r="O47" s="38">
        <f t="shared" si="2"/>
        <v>5.2131274950839253E-2</v>
      </c>
      <c r="P47" s="35"/>
    </row>
    <row r="48" spans="2:16" x14ac:dyDescent="0.2">
      <c r="E48" s="51"/>
      <c r="F48"/>
    </row>
    <row r="49" spans="5:6" x14ac:dyDescent="0.2">
      <c r="E49" s="51"/>
      <c r="F49"/>
    </row>
    <row r="50" spans="5:6" x14ac:dyDescent="0.2">
      <c r="E50" s="51"/>
      <c r="F50"/>
    </row>
    <row r="51" spans="5:6" x14ac:dyDescent="0.2">
      <c r="E51" s="51"/>
      <c r="F51"/>
    </row>
    <row r="52" spans="5:6" x14ac:dyDescent="0.2">
      <c r="E52" s="51"/>
      <c r="F52"/>
    </row>
    <row r="53" spans="5:6" x14ac:dyDescent="0.2">
      <c r="E53" s="51"/>
      <c r="F53"/>
    </row>
    <row r="54" spans="5:6" x14ac:dyDescent="0.2">
      <c r="E54" s="51"/>
      <c r="F54"/>
    </row>
    <row r="55" spans="5:6" x14ac:dyDescent="0.2">
      <c r="E55" s="51"/>
      <c r="F55"/>
    </row>
    <row r="56" spans="5:6" x14ac:dyDescent="0.2">
      <c r="E56" s="51"/>
      <c r="F56"/>
    </row>
    <row r="57" spans="5:6" x14ac:dyDescent="0.2">
      <c r="E57" s="51"/>
      <c r="F57"/>
    </row>
    <row r="58" spans="5:6" x14ac:dyDescent="0.2">
      <c r="F58"/>
    </row>
    <row r="59" spans="5:6" x14ac:dyDescent="0.2">
      <c r="F59"/>
    </row>
    <row r="60" spans="5:6" x14ac:dyDescent="0.2">
      <c r="F60"/>
    </row>
    <row r="61" spans="5:6" x14ac:dyDescent="0.2">
      <c r="F61"/>
    </row>
    <row r="62" spans="5:6" x14ac:dyDescent="0.2">
      <c r="F62"/>
    </row>
    <row r="63" spans="5:6" x14ac:dyDescent="0.2">
      <c r="F63"/>
    </row>
    <row r="64" spans="5:6" x14ac:dyDescent="0.2">
      <c r="F64"/>
    </row>
    <row r="65" spans="6:6" x14ac:dyDescent="0.2">
      <c r="F65"/>
    </row>
    <row r="66" spans="6:6" x14ac:dyDescent="0.2">
      <c r="F66"/>
    </row>
    <row r="67" spans="6:6" x14ac:dyDescent="0.2">
      <c r="F67"/>
    </row>
    <row r="68" spans="6:6" x14ac:dyDescent="0.2">
      <c r="F68"/>
    </row>
    <row r="69" spans="6:6" x14ac:dyDescent="0.2">
      <c r="F69"/>
    </row>
    <row r="70" spans="6:6" x14ac:dyDescent="0.2">
      <c r="F70"/>
    </row>
    <row r="71" spans="6:6" x14ac:dyDescent="0.2">
      <c r="F71"/>
    </row>
    <row r="72" spans="6:6" x14ac:dyDescent="0.2">
      <c r="F72"/>
    </row>
    <row r="73" spans="6:6" x14ac:dyDescent="0.2">
      <c r="F73"/>
    </row>
    <row r="74" spans="6:6" x14ac:dyDescent="0.2">
      <c r="F74"/>
    </row>
    <row r="75" spans="6:6" x14ac:dyDescent="0.2">
      <c r="F75"/>
    </row>
    <row r="76" spans="6:6" x14ac:dyDescent="0.2">
      <c r="F76"/>
    </row>
    <row r="77" spans="6:6" x14ac:dyDescent="0.2">
      <c r="F77"/>
    </row>
    <row r="78" spans="6:6" x14ac:dyDescent="0.2">
      <c r="F78"/>
    </row>
    <row r="79" spans="6:6" x14ac:dyDescent="0.2">
      <c r="F79"/>
    </row>
    <row r="80" spans="6:6" x14ac:dyDescent="0.2">
      <c r="F80"/>
    </row>
    <row r="81" spans="6:6" x14ac:dyDescent="0.2">
      <c r="F81"/>
    </row>
    <row r="82" spans="6:6" x14ac:dyDescent="0.2">
      <c r="F82"/>
    </row>
    <row r="83" spans="6:6" x14ac:dyDescent="0.2">
      <c r="F83"/>
    </row>
    <row r="84" spans="6:6" x14ac:dyDescent="0.2">
      <c r="F84"/>
    </row>
    <row r="85" spans="6:6" x14ac:dyDescent="0.2">
      <c r="F85"/>
    </row>
    <row r="86" spans="6:6" x14ac:dyDescent="0.2">
      <c r="F86"/>
    </row>
    <row r="87" spans="6:6" x14ac:dyDescent="0.2">
      <c r="F87"/>
    </row>
    <row r="88" spans="6:6" x14ac:dyDescent="0.2">
      <c r="F88"/>
    </row>
    <row r="89" spans="6:6" x14ac:dyDescent="0.2">
      <c r="F89"/>
    </row>
    <row r="90" spans="6:6" x14ac:dyDescent="0.2">
      <c r="F90"/>
    </row>
    <row r="91" spans="6:6" x14ac:dyDescent="0.2">
      <c r="F91"/>
    </row>
    <row r="92" spans="6:6" x14ac:dyDescent="0.2">
      <c r="F92"/>
    </row>
    <row r="93" spans="6:6" x14ac:dyDescent="0.2">
      <c r="F93"/>
    </row>
    <row r="94" spans="6:6" x14ac:dyDescent="0.2">
      <c r="F94"/>
    </row>
    <row r="95" spans="6:6" x14ac:dyDescent="0.2">
      <c r="F95"/>
    </row>
    <row r="96" spans="6:6" x14ac:dyDescent="0.2">
      <c r="F96"/>
    </row>
    <row r="97" spans="6:6" x14ac:dyDescent="0.2">
      <c r="F97"/>
    </row>
    <row r="98" spans="6:6" x14ac:dyDescent="0.2">
      <c r="F98"/>
    </row>
    <row r="99" spans="6:6" x14ac:dyDescent="0.2">
      <c r="F99"/>
    </row>
    <row r="100" spans="6:6" x14ac:dyDescent="0.2">
      <c r="F100"/>
    </row>
    <row r="101" spans="6:6" x14ac:dyDescent="0.2">
      <c r="F101"/>
    </row>
    <row r="102" spans="6:6" x14ac:dyDescent="0.2">
      <c r="F102"/>
    </row>
    <row r="103" spans="6:6" x14ac:dyDescent="0.2">
      <c r="F103"/>
    </row>
    <row r="104" spans="6:6" x14ac:dyDescent="0.2">
      <c r="F104"/>
    </row>
    <row r="105" spans="6:6" x14ac:dyDescent="0.2">
      <c r="F105"/>
    </row>
    <row r="106" spans="6:6" x14ac:dyDescent="0.2">
      <c r="F106"/>
    </row>
    <row r="107" spans="6:6" x14ac:dyDescent="0.2">
      <c r="F107"/>
    </row>
    <row r="108" spans="6:6" x14ac:dyDescent="0.2">
      <c r="F108"/>
    </row>
    <row r="109" spans="6:6" x14ac:dyDescent="0.2">
      <c r="F109"/>
    </row>
    <row r="110" spans="6:6" x14ac:dyDescent="0.2">
      <c r="F110"/>
    </row>
    <row r="111" spans="6:6" x14ac:dyDescent="0.2">
      <c r="F111"/>
    </row>
    <row r="112" spans="6:6" x14ac:dyDescent="0.2">
      <c r="F112"/>
    </row>
    <row r="113" spans="6:6" x14ac:dyDescent="0.2">
      <c r="F113"/>
    </row>
    <row r="114" spans="6:6" x14ac:dyDescent="0.2">
      <c r="F114"/>
    </row>
    <row r="115" spans="6:6" x14ac:dyDescent="0.2">
      <c r="F115"/>
    </row>
    <row r="116" spans="6:6" x14ac:dyDescent="0.2">
      <c r="F116"/>
    </row>
    <row r="117" spans="6:6" x14ac:dyDescent="0.2">
      <c r="F117"/>
    </row>
    <row r="118" spans="6:6" x14ac:dyDescent="0.2">
      <c r="F118"/>
    </row>
    <row r="119" spans="6:6" x14ac:dyDescent="0.2">
      <c r="F119"/>
    </row>
    <row r="120" spans="6:6" x14ac:dyDescent="0.2">
      <c r="F120"/>
    </row>
    <row r="121" spans="6:6" x14ac:dyDescent="0.2">
      <c r="F121"/>
    </row>
    <row r="122" spans="6:6" x14ac:dyDescent="0.2">
      <c r="F122"/>
    </row>
    <row r="123" spans="6:6" x14ac:dyDescent="0.2">
      <c r="F123"/>
    </row>
    <row r="124" spans="6:6" x14ac:dyDescent="0.2">
      <c r="F124"/>
    </row>
    <row r="125" spans="6:6" x14ac:dyDescent="0.2">
      <c r="F125"/>
    </row>
    <row r="126" spans="6:6" x14ac:dyDescent="0.2">
      <c r="F126"/>
    </row>
    <row r="127" spans="6:6" x14ac:dyDescent="0.2">
      <c r="F127"/>
    </row>
    <row r="128" spans="6:6" x14ac:dyDescent="0.2">
      <c r="F128"/>
    </row>
    <row r="129" spans="6:6" x14ac:dyDescent="0.2">
      <c r="F129"/>
    </row>
    <row r="130" spans="6:6" x14ac:dyDescent="0.2">
      <c r="F130"/>
    </row>
    <row r="131" spans="6:6" x14ac:dyDescent="0.2">
      <c r="F131"/>
    </row>
    <row r="132" spans="6:6" x14ac:dyDescent="0.2">
      <c r="F132"/>
    </row>
    <row r="133" spans="6:6" x14ac:dyDescent="0.2">
      <c r="F133"/>
    </row>
    <row r="134" spans="6:6" x14ac:dyDescent="0.2">
      <c r="F134"/>
    </row>
    <row r="135" spans="6:6" x14ac:dyDescent="0.2">
      <c r="F135"/>
    </row>
    <row r="136" spans="6:6" x14ac:dyDescent="0.2">
      <c r="F136"/>
    </row>
    <row r="137" spans="6:6" x14ac:dyDescent="0.2">
      <c r="F137"/>
    </row>
    <row r="138" spans="6:6" x14ac:dyDescent="0.2">
      <c r="F138"/>
    </row>
    <row r="139" spans="6:6" x14ac:dyDescent="0.2">
      <c r="F139"/>
    </row>
    <row r="140" spans="6:6" x14ac:dyDescent="0.2">
      <c r="F140"/>
    </row>
    <row r="141" spans="6:6" x14ac:dyDescent="0.2">
      <c r="F141"/>
    </row>
    <row r="142" spans="6:6" x14ac:dyDescent="0.2">
      <c r="F142"/>
    </row>
    <row r="143" spans="6:6" x14ac:dyDescent="0.2">
      <c r="F143"/>
    </row>
    <row r="144" spans="6:6" x14ac:dyDescent="0.2">
      <c r="F144"/>
    </row>
    <row r="145" spans="6:6" x14ac:dyDescent="0.2">
      <c r="F145"/>
    </row>
    <row r="146" spans="6:6" x14ac:dyDescent="0.2">
      <c r="F146"/>
    </row>
    <row r="147" spans="6:6" x14ac:dyDescent="0.2">
      <c r="F147"/>
    </row>
    <row r="148" spans="6:6" x14ac:dyDescent="0.2">
      <c r="F148"/>
    </row>
    <row r="149" spans="6:6" x14ac:dyDescent="0.2">
      <c r="F149"/>
    </row>
    <row r="150" spans="6:6" x14ac:dyDescent="0.2">
      <c r="F150"/>
    </row>
    <row r="151" spans="6:6" x14ac:dyDescent="0.2">
      <c r="F151"/>
    </row>
    <row r="152" spans="6:6" x14ac:dyDescent="0.2">
      <c r="F152"/>
    </row>
    <row r="153" spans="6:6" x14ac:dyDescent="0.2">
      <c r="F153"/>
    </row>
    <row r="154" spans="6:6" x14ac:dyDescent="0.2">
      <c r="F154"/>
    </row>
    <row r="155" spans="6:6" x14ac:dyDescent="0.2">
      <c r="F155"/>
    </row>
    <row r="156" spans="6:6" x14ac:dyDescent="0.2">
      <c r="F156"/>
    </row>
    <row r="157" spans="6:6" x14ac:dyDescent="0.2">
      <c r="F157"/>
    </row>
    <row r="158" spans="6:6" x14ac:dyDescent="0.2">
      <c r="F158"/>
    </row>
    <row r="159" spans="6:6" x14ac:dyDescent="0.2">
      <c r="F159"/>
    </row>
    <row r="160" spans="6:6" x14ac:dyDescent="0.2">
      <c r="F160"/>
    </row>
    <row r="161" spans="6:6" x14ac:dyDescent="0.2">
      <c r="F161"/>
    </row>
    <row r="162" spans="6:6" x14ac:dyDescent="0.2">
      <c r="F162"/>
    </row>
    <row r="163" spans="6:6" x14ac:dyDescent="0.2">
      <c r="F163"/>
    </row>
    <row r="164" spans="6:6" x14ac:dyDescent="0.2">
      <c r="F164"/>
    </row>
    <row r="165" spans="6:6" x14ac:dyDescent="0.2">
      <c r="F165"/>
    </row>
    <row r="166" spans="6:6" x14ac:dyDescent="0.2">
      <c r="F166"/>
    </row>
    <row r="167" spans="6:6" x14ac:dyDescent="0.2">
      <c r="F167"/>
    </row>
    <row r="168" spans="6:6" x14ac:dyDescent="0.2">
      <c r="F168"/>
    </row>
    <row r="169" spans="6:6" x14ac:dyDescent="0.2">
      <c r="F169"/>
    </row>
    <row r="170" spans="6:6" x14ac:dyDescent="0.2">
      <c r="F170"/>
    </row>
    <row r="171" spans="6:6" x14ac:dyDescent="0.2">
      <c r="F171"/>
    </row>
    <row r="172" spans="6:6" x14ac:dyDescent="0.2">
      <c r="F172"/>
    </row>
    <row r="173" spans="6:6" x14ac:dyDescent="0.2">
      <c r="F173"/>
    </row>
    <row r="174" spans="6:6" x14ac:dyDescent="0.2">
      <c r="F174"/>
    </row>
    <row r="175" spans="6:6" x14ac:dyDescent="0.2">
      <c r="F175"/>
    </row>
    <row r="176" spans="6:6" x14ac:dyDescent="0.2">
      <c r="F176"/>
    </row>
    <row r="177" spans="6:6" x14ac:dyDescent="0.2">
      <c r="F177"/>
    </row>
    <row r="178" spans="6:6" x14ac:dyDescent="0.2">
      <c r="F178"/>
    </row>
    <row r="179" spans="6:6" x14ac:dyDescent="0.2">
      <c r="F179"/>
    </row>
    <row r="180" spans="6:6" x14ac:dyDescent="0.2">
      <c r="F180"/>
    </row>
    <row r="181" spans="6:6" x14ac:dyDescent="0.2">
      <c r="F181"/>
    </row>
    <row r="182" spans="6:6" x14ac:dyDescent="0.2">
      <c r="F182"/>
    </row>
    <row r="183" spans="6:6" x14ac:dyDescent="0.2">
      <c r="F183"/>
    </row>
    <row r="184" spans="6:6" x14ac:dyDescent="0.2">
      <c r="F184"/>
    </row>
    <row r="185" spans="6:6" x14ac:dyDescent="0.2">
      <c r="F185"/>
    </row>
    <row r="186" spans="6:6" x14ac:dyDescent="0.2">
      <c r="F186"/>
    </row>
    <row r="187" spans="6:6" x14ac:dyDescent="0.2">
      <c r="F187"/>
    </row>
    <row r="188" spans="6:6" x14ac:dyDescent="0.2">
      <c r="F188"/>
    </row>
    <row r="189" spans="6:6" x14ac:dyDescent="0.2">
      <c r="F189"/>
    </row>
    <row r="190" spans="6:6" x14ac:dyDescent="0.2">
      <c r="F190"/>
    </row>
    <row r="191" spans="6:6" x14ac:dyDescent="0.2">
      <c r="F191"/>
    </row>
    <row r="192" spans="6:6" x14ac:dyDescent="0.2">
      <c r="F192"/>
    </row>
    <row r="193" spans="6:6" x14ac:dyDescent="0.2">
      <c r="F193"/>
    </row>
    <row r="194" spans="6:6" x14ac:dyDescent="0.2">
      <c r="F194"/>
    </row>
    <row r="195" spans="6:6" x14ac:dyDescent="0.2">
      <c r="F195"/>
    </row>
    <row r="196" spans="6:6" x14ac:dyDescent="0.2">
      <c r="F196"/>
    </row>
    <row r="197" spans="6:6" x14ac:dyDescent="0.2">
      <c r="F197"/>
    </row>
    <row r="198" spans="6:6" x14ac:dyDescent="0.2">
      <c r="F198"/>
    </row>
    <row r="199" spans="6:6" x14ac:dyDescent="0.2">
      <c r="F199"/>
    </row>
    <row r="200" spans="6:6" x14ac:dyDescent="0.2">
      <c r="F200"/>
    </row>
    <row r="201" spans="6:6" x14ac:dyDescent="0.2">
      <c r="F201"/>
    </row>
    <row r="202" spans="6:6" x14ac:dyDescent="0.2">
      <c r="F202"/>
    </row>
    <row r="203" spans="6:6" x14ac:dyDescent="0.2">
      <c r="F203"/>
    </row>
    <row r="204" spans="6:6" x14ac:dyDescent="0.2">
      <c r="F204"/>
    </row>
    <row r="205" spans="6:6" x14ac:dyDescent="0.2">
      <c r="F205"/>
    </row>
    <row r="206" spans="6:6" x14ac:dyDescent="0.2">
      <c r="F206"/>
    </row>
    <row r="207" spans="6:6" x14ac:dyDescent="0.2">
      <c r="F207"/>
    </row>
    <row r="208" spans="6:6" x14ac:dyDescent="0.2">
      <c r="F208"/>
    </row>
    <row r="209" spans="6:6" x14ac:dyDescent="0.2">
      <c r="F209"/>
    </row>
    <row r="210" spans="6:6" x14ac:dyDescent="0.2">
      <c r="F210"/>
    </row>
    <row r="211" spans="6:6" x14ac:dyDescent="0.2">
      <c r="F211"/>
    </row>
    <row r="212" spans="6:6" x14ac:dyDescent="0.2">
      <c r="F212"/>
    </row>
    <row r="213" spans="6:6" x14ac:dyDescent="0.2">
      <c r="F213"/>
    </row>
    <row r="214" spans="6:6" x14ac:dyDescent="0.2">
      <c r="F214"/>
    </row>
    <row r="215" spans="6:6" x14ac:dyDescent="0.2">
      <c r="F215"/>
    </row>
    <row r="216" spans="6:6" x14ac:dyDescent="0.2">
      <c r="F216"/>
    </row>
    <row r="217" spans="6:6" x14ac:dyDescent="0.2">
      <c r="F217"/>
    </row>
    <row r="218" spans="6:6" x14ac:dyDescent="0.2">
      <c r="F218"/>
    </row>
    <row r="219" spans="6:6" x14ac:dyDescent="0.2">
      <c r="F219"/>
    </row>
    <row r="220" spans="6:6" x14ac:dyDescent="0.2">
      <c r="F220"/>
    </row>
    <row r="221" spans="6:6" x14ac:dyDescent="0.2">
      <c r="F221"/>
    </row>
    <row r="222" spans="6:6" x14ac:dyDescent="0.2">
      <c r="F222"/>
    </row>
    <row r="223" spans="6:6" x14ac:dyDescent="0.2">
      <c r="F223"/>
    </row>
    <row r="224" spans="6:6" x14ac:dyDescent="0.2">
      <c r="F224"/>
    </row>
    <row r="225" spans="6:6" x14ac:dyDescent="0.2">
      <c r="F225"/>
    </row>
    <row r="226" spans="6:6" x14ac:dyDescent="0.2">
      <c r="F226"/>
    </row>
    <row r="227" spans="6:6" x14ac:dyDescent="0.2">
      <c r="F227"/>
    </row>
    <row r="228" spans="6:6" x14ac:dyDescent="0.2">
      <c r="F228"/>
    </row>
    <row r="229" spans="6:6" x14ac:dyDescent="0.2">
      <c r="F229"/>
    </row>
    <row r="230" spans="6:6" x14ac:dyDescent="0.2">
      <c r="F230"/>
    </row>
    <row r="231" spans="6:6" x14ac:dyDescent="0.2">
      <c r="F231"/>
    </row>
    <row r="232" spans="6:6" x14ac:dyDescent="0.2">
      <c r="F232"/>
    </row>
    <row r="233" spans="6:6" x14ac:dyDescent="0.2">
      <c r="F233"/>
    </row>
    <row r="234" spans="6:6" x14ac:dyDescent="0.2">
      <c r="F234"/>
    </row>
    <row r="235" spans="6:6" x14ac:dyDescent="0.2">
      <c r="F235"/>
    </row>
    <row r="236" spans="6:6" x14ac:dyDescent="0.2">
      <c r="F236"/>
    </row>
    <row r="237" spans="6:6" x14ac:dyDescent="0.2">
      <c r="F237"/>
    </row>
    <row r="238" spans="6:6" x14ac:dyDescent="0.2">
      <c r="F238"/>
    </row>
    <row r="239" spans="6:6" x14ac:dyDescent="0.2">
      <c r="F239"/>
    </row>
    <row r="240" spans="6:6" x14ac:dyDescent="0.2">
      <c r="F240"/>
    </row>
    <row r="241" spans="6:6" x14ac:dyDescent="0.2">
      <c r="F241"/>
    </row>
    <row r="242" spans="6:6" x14ac:dyDescent="0.2">
      <c r="F242"/>
    </row>
    <row r="243" spans="6:6" x14ac:dyDescent="0.2">
      <c r="F243"/>
    </row>
    <row r="244" spans="6:6" x14ac:dyDescent="0.2">
      <c r="F244"/>
    </row>
    <row r="245" spans="6:6" x14ac:dyDescent="0.2">
      <c r="F245"/>
    </row>
    <row r="246" spans="6:6" x14ac:dyDescent="0.2">
      <c r="F246"/>
    </row>
    <row r="247" spans="6:6" x14ac:dyDescent="0.2">
      <c r="F247"/>
    </row>
    <row r="248" spans="6:6" x14ac:dyDescent="0.2">
      <c r="F248"/>
    </row>
    <row r="249" spans="6:6" x14ac:dyDescent="0.2">
      <c r="F249"/>
    </row>
    <row r="250" spans="6:6" x14ac:dyDescent="0.2">
      <c r="F250"/>
    </row>
    <row r="251" spans="6:6" x14ac:dyDescent="0.2">
      <c r="F251"/>
    </row>
    <row r="252" spans="6:6" x14ac:dyDescent="0.2">
      <c r="F252"/>
    </row>
    <row r="253" spans="6:6" x14ac:dyDescent="0.2">
      <c r="F253"/>
    </row>
    <row r="254" spans="6:6" x14ac:dyDescent="0.2">
      <c r="F254"/>
    </row>
    <row r="255" spans="6:6" x14ac:dyDescent="0.2">
      <c r="F255"/>
    </row>
    <row r="256" spans="6:6" x14ac:dyDescent="0.2">
      <c r="F256"/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  <row r="279" spans="6:6" x14ac:dyDescent="0.2">
      <c r="F279"/>
    </row>
    <row r="280" spans="6:6" x14ac:dyDescent="0.2">
      <c r="F280"/>
    </row>
    <row r="281" spans="6:6" x14ac:dyDescent="0.2">
      <c r="F281"/>
    </row>
    <row r="282" spans="6:6" x14ac:dyDescent="0.2">
      <c r="F282"/>
    </row>
    <row r="283" spans="6:6" x14ac:dyDescent="0.2">
      <c r="F283"/>
    </row>
    <row r="284" spans="6:6" x14ac:dyDescent="0.2">
      <c r="F284"/>
    </row>
    <row r="285" spans="6:6" x14ac:dyDescent="0.2">
      <c r="F285"/>
    </row>
    <row r="286" spans="6:6" x14ac:dyDescent="0.2">
      <c r="F286"/>
    </row>
    <row r="287" spans="6:6" x14ac:dyDescent="0.2">
      <c r="F287"/>
    </row>
    <row r="288" spans="6:6" x14ac:dyDescent="0.2">
      <c r="F288"/>
    </row>
    <row r="289" spans="6:6" x14ac:dyDescent="0.2">
      <c r="F289"/>
    </row>
    <row r="290" spans="6:6" x14ac:dyDescent="0.2">
      <c r="F290"/>
    </row>
    <row r="291" spans="6:6" x14ac:dyDescent="0.2">
      <c r="F291"/>
    </row>
    <row r="292" spans="6:6" x14ac:dyDescent="0.2">
      <c r="F292"/>
    </row>
    <row r="293" spans="6:6" x14ac:dyDescent="0.2">
      <c r="F293"/>
    </row>
    <row r="294" spans="6:6" x14ac:dyDescent="0.2">
      <c r="F294"/>
    </row>
    <row r="295" spans="6:6" x14ac:dyDescent="0.2">
      <c r="F295"/>
    </row>
    <row r="296" spans="6:6" x14ac:dyDescent="0.2">
      <c r="F296"/>
    </row>
    <row r="297" spans="6:6" x14ac:dyDescent="0.2">
      <c r="F297"/>
    </row>
    <row r="298" spans="6:6" x14ac:dyDescent="0.2">
      <c r="F298"/>
    </row>
    <row r="299" spans="6:6" x14ac:dyDescent="0.2">
      <c r="F299"/>
    </row>
    <row r="300" spans="6:6" x14ac:dyDescent="0.2">
      <c r="F300"/>
    </row>
    <row r="301" spans="6:6" x14ac:dyDescent="0.2">
      <c r="F301"/>
    </row>
    <row r="302" spans="6:6" x14ac:dyDescent="0.2">
      <c r="F302"/>
    </row>
    <row r="303" spans="6:6" x14ac:dyDescent="0.2">
      <c r="F303"/>
    </row>
    <row r="304" spans="6:6" x14ac:dyDescent="0.2">
      <c r="F304"/>
    </row>
    <row r="305" spans="6:6" x14ac:dyDescent="0.2">
      <c r="F305"/>
    </row>
    <row r="306" spans="6:6" x14ac:dyDescent="0.2">
      <c r="F306"/>
    </row>
    <row r="307" spans="6:6" x14ac:dyDescent="0.2">
      <c r="F307"/>
    </row>
    <row r="308" spans="6:6" x14ac:dyDescent="0.2">
      <c r="F308"/>
    </row>
    <row r="309" spans="6:6" x14ac:dyDescent="0.2">
      <c r="F309"/>
    </row>
    <row r="310" spans="6:6" x14ac:dyDescent="0.2">
      <c r="F310"/>
    </row>
    <row r="311" spans="6:6" x14ac:dyDescent="0.2">
      <c r="F311"/>
    </row>
    <row r="312" spans="6:6" x14ac:dyDescent="0.2">
      <c r="F312"/>
    </row>
    <row r="313" spans="6:6" x14ac:dyDescent="0.2">
      <c r="F313"/>
    </row>
    <row r="314" spans="6:6" x14ac:dyDescent="0.2">
      <c r="F314"/>
    </row>
    <row r="315" spans="6:6" x14ac:dyDescent="0.2">
      <c r="F315"/>
    </row>
    <row r="316" spans="6:6" x14ac:dyDescent="0.2">
      <c r="F316"/>
    </row>
    <row r="317" spans="6:6" x14ac:dyDescent="0.2">
      <c r="F317"/>
    </row>
    <row r="318" spans="6:6" x14ac:dyDescent="0.2">
      <c r="F318"/>
    </row>
    <row r="319" spans="6:6" x14ac:dyDescent="0.2">
      <c r="F319"/>
    </row>
    <row r="320" spans="6:6" x14ac:dyDescent="0.2">
      <c r="F320"/>
    </row>
    <row r="321" spans="6:6" x14ac:dyDescent="0.2">
      <c r="F321"/>
    </row>
    <row r="322" spans="6:6" x14ac:dyDescent="0.2">
      <c r="F322"/>
    </row>
    <row r="323" spans="6:6" x14ac:dyDescent="0.2">
      <c r="F323"/>
    </row>
    <row r="324" spans="6:6" x14ac:dyDescent="0.2">
      <c r="F324"/>
    </row>
    <row r="325" spans="6:6" x14ac:dyDescent="0.2">
      <c r="F325"/>
    </row>
    <row r="326" spans="6:6" x14ac:dyDescent="0.2">
      <c r="F326"/>
    </row>
    <row r="327" spans="6:6" x14ac:dyDescent="0.2">
      <c r="F327"/>
    </row>
    <row r="328" spans="6:6" x14ac:dyDescent="0.2">
      <c r="F328"/>
    </row>
    <row r="329" spans="6:6" x14ac:dyDescent="0.2">
      <c r="F329"/>
    </row>
    <row r="330" spans="6:6" x14ac:dyDescent="0.2">
      <c r="F330"/>
    </row>
    <row r="331" spans="6:6" x14ac:dyDescent="0.2">
      <c r="F331"/>
    </row>
    <row r="332" spans="6:6" x14ac:dyDescent="0.2">
      <c r="F332"/>
    </row>
    <row r="333" spans="6:6" x14ac:dyDescent="0.2">
      <c r="F333"/>
    </row>
    <row r="334" spans="6:6" x14ac:dyDescent="0.2">
      <c r="F334"/>
    </row>
    <row r="335" spans="6:6" x14ac:dyDescent="0.2">
      <c r="F335"/>
    </row>
    <row r="336" spans="6:6" x14ac:dyDescent="0.2">
      <c r="F336"/>
    </row>
    <row r="337" spans="6:6" x14ac:dyDescent="0.2">
      <c r="F337"/>
    </row>
    <row r="338" spans="6:6" x14ac:dyDescent="0.2">
      <c r="F338"/>
    </row>
    <row r="339" spans="6:6" x14ac:dyDescent="0.2">
      <c r="F339"/>
    </row>
    <row r="340" spans="6:6" x14ac:dyDescent="0.2">
      <c r="F340"/>
    </row>
    <row r="341" spans="6:6" x14ac:dyDescent="0.2">
      <c r="F341"/>
    </row>
    <row r="342" spans="6:6" x14ac:dyDescent="0.2">
      <c r="F342"/>
    </row>
    <row r="343" spans="6:6" x14ac:dyDescent="0.2">
      <c r="F343"/>
    </row>
    <row r="344" spans="6:6" x14ac:dyDescent="0.2">
      <c r="F344"/>
    </row>
    <row r="345" spans="6:6" x14ac:dyDescent="0.2">
      <c r="F345"/>
    </row>
    <row r="346" spans="6:6" x14ac:dyDescent="0.2">
      <c r="F346"/>
    </row>
    <row r="347" spans="6:6" x14ac:dyDescent="0.2">
      <c r="F347"/>
    </row>
    <row r="348" spans="6:6" x14ac:dyDescent="0.2">
      <c r="F348"/>
    </row>
    <row r="349" spans="6:6" x14ac:dyDescent="0.2">
      <c r="F349"/>
    </row>
    <row r="350" spans="6:6" x14ac:dyDescent="0.2">
      <c r="F350"/>
    </row>
    <row r="351" spans="6:6" x14ac:dyDescent="0.2">
      <c r="F351"/>
    </row>
    <row r="352" spans="6:6" x14ac:dyDescent="0.2">
      <c r="F352"/>
    </row>
    <row r="353" spans="6:6" x14ac:dyDescent="0.2">
      <c r="F353"/>
    </row>
    <row r="354" spans="6:6" x14ac:dyDescent="0.2">
      <c r="F354"/>
    </row>
    <row r="355" spans="6:6" x14ac:dyDescent="0.2">
      <c r="F355"/>
    </row>
    <row r="356" spans="6:6" x14ac:dyDescent="0.2">
      <c r="F356"/>
    </row>
    <row r="357" spans="6:6" x14ac:dyDescent="0.2">
      <c r="F357"/>
    </row>
    <row r="358" spans="6:6" x14ac:dyDescent="0.2">
      <c r="F358"/>
    </row>
    <row r="359" spans="6:6" x14ac:dyDescent="0.2">
      <c r="F359"/>
    </row>
    <row r="360" spans="6:6" x14ac:dyDescent="0.2">
      <c r="F360"/>
    </row>
    <row r="361" spans="6:6" x14ac:dyDescent="0.2">
      <c r="F361"/>
    </row>
    <row r="362" spans="6:6" x14ac:dyDescent="0.2">
      <c r="F362"/>
    </row>
    <row r="363" spans="6:6" x14ac:dyDescent="0.2">
      <c r="F363"/>
    </row>
    <row r="364" spans="6:6" x14ac:dyDescent="0.2">
      <c r="F364"/>
    </row>
    <row r="365" spans="6:6" x14ac:dyDescent="0.2">
      <c r="F365"/>
    </row>
    <row r="366" spans="6:6" x14ac:dyDescent="0.2">
      <c r="F366"/>
    </row>
    <row r="367" spans="6:6" x14ac:dyDescent="0.2">
      <c r="F367"/>
    </row>
    <row r="368" spans="6:6" x14ac:dyDescent="0.2">
      <c r="F368"/>
    </row>
    <row r="369" spans="6:6" x14ac:dyDescent="0.2">
      <c r="F369"/>
    </row>
    <row r="370" spans="6:6" x14ac:dyDescent="0.2">
      <c r="F370"/>
    </row>
    <row r="371" spans="6:6" x14ac:dyDescent="0.2">
      <c r="F371"/>
    </row>
    <row r="372" spans="6:6" x14ac:dyDescent="0.2">
      <c r="F372"/>
    </row>
    <row r="373" spans="6:6" x14ac:dyDescent="0.2">
      <c r="F373"/>
    </row>
    <row r="374" spans="6:6" x14ac:dyDescent="0.2">
      <c r="F374"/>
    </row>
    <row r="375" spans="6:6" x14ac:dyDescent="0.2">
      <c r="F375"/>
    </row>
    <row r="376" spans="6:6" x14ac:dyDescent="0.2">
      <c r="F376"/>
    </row>
    <row r="377" spans="6:6" x14ac:dyDescent="0.2">
      <c r="F377"/>
    </row>
    <row r="378" spans="6:6" x14ac:dyDescent="0.2">
      <c r="F378"/>
    </row>
    <row r="379" spans="6:6" x14ac:dyDescent="0.2">
      <c r="F379"/>
    </row>
    <row r="380" spans="6:6" x14ac:dyDescent="0.2">
      <c r="F380"/>
    </row>
    <row r="381" spans="6:6" x14ac:dyDescent="0.2">
      <c r="F381"/>
    </row>
    <row r="382" spans="6:6" x14ac:dyDescent="0.2">
      <c r="F382"/>
    </row>
    <row r="383" spans="6:6" x14ac:dyDescent="0.2">
      <c r="F383"/>
    </row>
    <row r="384" spans="6:6" x14ac:dyDescent="0.2">
      <c r="F384"/>
    </row>
    <row r="385" spans="6:6" x14ac:dyDescent="0.2">
      <c r="F385"/>
    </row>
    <row r="386" spans="6:6" x14ac:dyDescent="0.2">
      <c r="F386"/>
    </row>
    <row r="387" spans="6:6" x14ac:dyDescent="0.2">
      <c r="F387"/>
    </row>
    <row r="388" spans="6:6" x14ac:dyDescent="0.2">
      <c r="F388"/>
    </row>
    <row r="389" spans="6:6" x14ac:dyDescent="0.2">
      <c r="F389"/>
    </row>
    <row r="390" spans="6:6" x14ac:dyDescent="0.2">
      <c r="F390"/>
    </row>
    <row r="391" spans="6:6" x14ac:dyDescent="0.2">
      <c r="F391"/>
    </row>
    <row r="392" spans="6:6" x14ac:dyDescent="0.2">
      <c r="F392"/>
    </row>
    <row r="393" spans="6:6" x14ac:dyDescent="0.2">
      <c r="F393"/>
    </row>
    <row r="394" spans="6:6" x14ac:dyDescent="0.2">
      <c r="F394"/>
    </row>
    <row r="395" spans="6:6" x14ac:dyDescent="0.2">
      <c r="F395"/>
    </row>
    <row r="396" spans="6:6" x14ac:dyDescent="0.2">
      <c r="F396"/>
    </row>
    <row r="397" spans="6:6" x14ac:dyDescent="0.2">
      <c r="F397"/>
    </row>
    <row r="398" spans="6:6" x14ac:dyDescent="0.2">
      <c r="F398"/>
    </row>
    <row r="399" spans="6:6" x14ac:dyDescent="0.2">
      <c r="F399"/>
    </row>
    <row r="400" spans="6:6" x14ac:dyDescent="0.2">
      <c r="F400"/>
    </row>
    <row r="401" spans="6:6" x14ac:dyDescent="0.2">
      <c r="F401"/>
    </row>
    <row r="402" spans="6:6" x14ac:dyDescent="0.2">
      <c r="F402"/>
    </row>
    <row r="403" spans="6:6" x14ac:dyDescent="0.2">
      <c r="F403"/>
    </row>
    <row r="404" spans="6:6" x14ac:dyDescent="0.2">
      <c r="F404"/>
    </row>
    <row r="405" spans="6:6" x14ac:dyDescent="0.2">
      <c r="F405"/>
    </row>
    <row r="406" spans="6:6" x14ac:dyDescent="0.2">
      <c r="F406"/>
    </row>
    <row r="407" spans="6:6" x14ac:dyDescent="0.2">
      <c r="F407"/>
    </row>
    <row r="408" spans="6:6" x14ac:dyDescent="0.2">
      <c r="F408"/>
    </row>
    <row r="409" spans="6:6" x14ac:dyDescent="0.2">
      <c r="F409"/>
    </row>
    <row r="410" spans="6:6" x14ac:dyDescent="0.2">
      <c r="F410"/>
    </row>
    <row r="411" spans="6:6" x14ac:dyDescent="0.2">
      <c r="F411"/>
    </row>
    <row r="412" spans="6:6" x14ac:dyDescent="0.2">
      <c r="F412"/>
    </row>
    <row r="413" spans="6:6" x14ac:dyDescent="0.2">
      <c r="F413"/>
    </row>
  </sheetData>
  <mergeCells count="36">
    <mergeCell ref="B28:B32"/>
    <mergeCell ref="B33:B37"/>
    <mergeCell ref="B38:B42"/>
    <mergeCell ref="B43:B47"/>
    <mergeCell ref="B3:B7"/>
    <mergeCell ref="B8:B12"/>
    <mergeCell ref="B13:B17"/>
    <mergeCell ref="B18:B22"/>
    <mergeCell ref="B23:B27"/>
    <mergeCell ref="J28:J32"/>
    <mergeCell ref="H3:H7"/>
    <mergeCell ref="H8:H12"/>
    <mergeCell ref="H13:H17"/>
    <mergeCell ref="H18:H22"/>
    <mergeCell ref="H23:H27"/>
    <mergeCell ref="J3:J7"/>
    <mergeCell ref="J8:J12"/>
    <mergeCell ref="J13:J17"/>
    <mergeCell ref="J18:J22"/>
    <mergeCell ref="J23:J27"/>
    <mergeCell ref="E28:E32"/>
    <mergeCell ref="E33:E37"/>
    <mergeCell ref="H28:H32"/>
    <mergeCell ref="H33:H37"/>
    <mergeCell ref="H38:H42"/>
    <mergeCell ref="E38:E42"/>
    <mergeCell ref="E3:E7"/>
    <mergeCell ref="E8:E12"/>
    <mergeCell ref="E13:E17"/>
    <mergeCell ref="E18:E22"/>
    <mergeCell ref="E23:E27"/>
    <mergeCell ref="E43:E47"/>
    <mergeCell ref="J33:J37"/>
    <mergeCell ref="J38:J42"/>
    <mergeCell ref="J43:J47"/>
    <mergeCell ref="H43:H4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87"/>
  <sheetViews>
    <sheetView zoomScale="70" zoomScaleNormal="70" workbookViewId="0">
      <selection activeCell="H3" sqref="H1:H1048576"/>
    </sheetView>
  </sheetViews>
  <sheetFormatPr defaultRowHeight="15.75" x14ac:dyDescent="0.2"/>
  <cols>
    <col min="2" max="2" width="16" bestFit="1" customWidth="1"/>
    <col min="3" max="3" width="10.5703125" customWidth="1"/>
    <col min="4" max="4" width="79.5703125" customWidth="1"/>
    <col min="6" max="6" width="19.5703125" style="46" bestFit="1" customWidth="1"/>
    <col min="7" max="7" width="21.5703125" bestFit="1" customWidth="1"/>
    <col min="8" max="8" width="18.7109375" style="72" customWidth="1"/>
    <col min="9" max="9" width="92.140625" customWidth="1"/>
    <col min="10" max="10" width="15.85546875" customWidth="1"/>
    <col min="12" max="12" width="13.140625" bestFit="1" customWidth="1"/>
  </cols>
  <sheetData>
    <row r="1" spans="2:27" ht="16.5" thickBot="1" x14ac:dyDescent="0.25">
      <c r="N1" s="75"/>
    </row>
    <row r="2" spans="2:27" ht="13.5" thickBot="1" x14ac:dyDescent="0.25">
      <c r="B2" s="56" t="s">
        <v>0</v>
      </c>
      <c r="C2" s="57" t="s">
        <v>1</v>
      </c>
      <c r="D2" s="52" t="s">
        <v>27</v>
      </c>
      <c r="E2" s="52" t="s">
        <v>28</v>
      </c>
      <c r="F2" s="68" t="s">
        <v>29</v>
      </c>
      <c r="G2" s="79" t="s">
        <v>30</v>
      </c>
      <c r="H2" s="102" t="s">
        <v>31</v>
      </c>
      <c r="N2" s="75"/>
      <c r="Y2" s="159"/>
      <c r="Z2" s="159"/>
      <c r="AA2" s="73"/>
    </row>
    <row r="3" spans="2:27" ht="63.6" customHeight="1" thickBot="1" x14ac:dyDescent="0.25">
      <c r="B3" s="142" t="s">
        <v>5</v>
      </c>
      <c r="C3" s="18">
        <v>1</v>
      </c>
      <c r="D3" s="64"/>
      <c r="E3" s="64"/>
      <c r="F3" s="67">
        <f>7.737/(299.326+7.737)</f>
        <v>2.5196783721907229E-2</v>
      </c>
      <c r="G3" s="164">
        <f>AVERAGE(F3:F7)</f>
        <v>2.3219675663995028E-2</v>
      </c>
      <c r="H3" s="161">
        <f>1-G3</f>
        <v>0.97678032433600492</v>
      </c>
      <c r="N3" s="75"/>
      <c r="Y3" s="158"/>
      <c r="Z3" s="160"/>
      <c r="AA3" s="158"/>
    </row>
    <row r="4" spans="2:27" ht="64.5" customHeight="1" thickBot="1" x14ac:dyDescent="0.25">
      <c r="B4" s="143"/>
      <c r="C4" s="17">
        <v>2</v>
      </c>
      <c r="D4" s="62"/>
      <c r="E4" s="62"/>
      <c r="F4" s="65">
        <f>13.609/(291.964+13.609)</f>
        <v>4.453600285365527E-2</v>
      </c>
      <c r="G4" s="165"/>
      <c r="H4" s="161"/>
      <c r="N4" s="75"/>
      <c r="Y4" s="158"/>
      <c r="Z4" s="160"/>
      <c r="AA4" s="158"/>
    </row>
    <row r="5" spans="2:27" ht="62.45" customHeight="1" thickBot="1" x14ac:dyDescent="0.25">
      <c r="B5" s="143"/>
      <c r="C5" s="17">
        <v>3</v>
      </c>
      <c r="D5" s="62"/>
      <c r="E5" s="62"/>
      <c r="F5" s="65">
        <f>4.297/(299.989+4.297)</f>
        <v>1.4121582984429122E-2</v>
      </c>
      <c r="G5" s="165"/>
      <c r="H5" s="161"/>
      <c r="N5" s="75"/>
      <c r="Y5" s="158"/>
      <c r="Z5" s="160"/>
      <c r="AA5" s="158"/>
    </row>
    <row r="6" spans="2:27" ht="63.6" customHeight="1" thickBot="1" x14ac:dyDescent="0.25">
      <c r="B6" s="143"/>
      <c r="C6" s="17">
        <v>4</v>
      </c>
      <c r="D6" s="62"/>
      <c r="E6" s="62"/>
      <c r="F6" s="65">
        <f>(4.768)/(296.098+4.768)</f>
        <v>1.5847586633252014E-2</v>
      </c>
      <c r="G6" s="165"/>
      <c r="H6" s="161"/>
      <c r="N6" s="75"/>
      <c r="Y6" s="158"/>
      <c r="Z6" s="160"/>
      <c r="AA6" s="158"/>
    </row>
    <row r="7" spans="2:27" ht="63.95" customHeight="1" thickBot="1" x14ac:dyDescent="0.25">
      <c r="B7" s="157"/>
      <c r="C7" s="19">
        <v>5</v>
      </c>
      <c r="D7" s="63"/>
      <c r="E7" s="63"/>
      <c r="F7" s="66">
        <f>5.052/(303.064+5.052)</f>
        <v>1.6396422126731487E-2</v>
      </c>
      <c r="G7" s="166"/>
      <c r="H7" s="161"/>
      <c r="I7" t="s">
        <v>32</v>
      </c>
      <c r="N7" s="75"/>
      <c r="Y7" s="158"/>
      <c r="Z7" s="160"/>
      <c r="AA7" s="158"/>
    </row>
    <row r="8" spans="2:27" ht="77.25" customHeight="1" thickBot="1" x14ac:dyDescent="0.25">
      <c r="B8" s="142" t="s">
        <v>6</v>
      </c>
      <c r="C8" s="18">
        <v>1</v>
      </c>
      <c r="D8" s="64"/>
      <c r="E8" s="64"/>
      <c r="F8" s="67">
        <f>4.449/(302.521+5.052)</f>
        <v>1.4464858748979915E-2</v>
      </c>
      <c r="G8" s="164">
        <f>AVERAGE(F8:F12)</f>
        <v>2.9251884595414092E-2</v>
      </c>
      <c r="H8" s="161">
        <f t="shared" ref="H8" si="0">1-G8</f>
        <v>0.97074811540458594</v>
      </c>
      <c r="N8" s="75"/>
      <c r="Y8" s="158"/>
      <c r="Z8" s="160"/>
      <c r="AA8" s="158"/>
    </row>
    <row r="9" spans="2:27" ht="75" customHeight="1" thickBot="1" x14ac:dyDescent="0.25">
      <c r="B9" s="143"/>
      <c r="C9" s="17">
        <v>2</v>
      </c>
      <c r="D9" s="62"/>
      <c r="E9" s="62"/>
      <c r="F9" s="65">
        <f>11.94/(269.954+11.954)</f>
        <v>4.2354243228287236E-2</v>
      </c>
      <c r="G9" s="165"/>
      <c r="H9" s="161"/>
      <c r="N9" s="75"/>
      <c r="Y9" s="158"/>
      <c r="Z9" s="160"/>
      <c r="AA9" s="158"/>
    </row>
    <row r="10" spans="2:27" ht="77.25" customHeight="1" thickBot="1" x14ac:dyDescent="0.25">
      <c r="B10" s="143"/>
      <c r="C10" s="17">
        <v>3</v>
      </c>
      <c r="D10" s="62"/>
      <c r="E10" s="62"/>
      <c r="F10" s="65">
        <f>7.183/(288.617+7.183)</f>
        <v>2.4283299526707235E-2</v>
      </c>
      <c r="G10" s="165"/>
      <c r="H10" s="161"/>
      <c r="N10" s="75"/>
      <c r="Y10" s="158"/>
      <c r="Z10" s="160"/>
      <c r="AA10" s="158"/>
    </row>
    <row r="11" spans="2:27" ht="69.75" customHeight="1" thickBot="1" x14ac:dyDescent="0.25">
      <c r="B11" s="143"/>
      <c r="C11" s="17">
        <v>4</v>
      </c>
      <c r="D11" s="62"/>
      <c r="E11" s="62"/>
      <c r="F11" s="65">
        <f>10.692/(287.954+10.692)</f>
        <v>3.5801584484640679E-2</v>
      </c>
      <c r="G11" s="165"/>
      <c r="H11" s="161"/>
      <c r="N11" s="75"/>
      <c r="Y11" s="158"/>
      <c r="Z11" s="160"/>
      <c r="AA11" s="158"/>
    </row>
    <row r="12" spans="2:27" ht="81" customHeight="1" thickBot="1" x14ac:dyDescent="0.25">
      <c r="B12" s="157"/>
      <c r="C12" s="19">
        <v>5</v>
      </c>
      <c r="D12" s="63"/>
      <c r="E12" s="63"/>
      <c r="F12" s="66">
        <f>8.737/(288.891+8.737)</f>
        <v>2.9355436988455382E-2</v>
      </c>
      <c r="G12" s="166"/>
      <c r="H12" s="161"/>
      <c r="I12" t="s">
        <v>33</v>
      </c>
      <c r="N12" s="75"/>
      <c r="Y12" s="158"/>
      <c r="Z12" s="160"/>
      <c r="AA12" s="158"/>
    </row>
    <row r="13" spans="2:27" ht="70.5" customHeight="1" thickBot="1" x14ac:dyDescent="0.25">
      <c r="B13" s="156" t="s">
        <v>7</v>
      </c>
      <c r="C13" s="18">
        <v>1</v>
      </c>
      <c r="D13" s="64"/>
      <c r="E13" s="64"/>
      <c r="F13" s="67">
        <f>6.436/(296.624+6.436)</f>
        <v>2.1236718801557447E-2</v>
      </c>
      <c r="G13" s="164">
        <f>AVERAGE(F13:F17)</f>
        <v>1.5589007834755964E-2</v>
      </c>
      <c r="H13" s="161">
        <f t="shared" ref="H13" si="1">1-G13</f>
        <v>0.98441099216524408</v>
      </c>
      <c r="J13" s="44"/>
      <c r="N13" s="75"/>
      <c r="Y13" s="158"/>
      <c r="Z13" s="160"/>
      <c r="AA13" s="158"/>
    </row>
    <row r="14" spans="2:27" ht="74.25" customHeight="1" thickBot="1" x14ac:dyDescent="0.25">
      <c r="B14" s="143"/>
      <c r="C14" s="17">
        <v>2</v>
      </c>
      <c r="D14" s="62"/>
      <c r="E14" s="62"/>
      <c r="F14" s="65">
        <f>(4.44/276.843)</f>
        <v>1.6037970979941699E-2</v>
      </c>
      <c r="G14" s="165"/>
      <c r="H14" s="161"/>
      <c r="N14" s="75"/>
      <c r="Y14" s="158"/>
      <c r="Z14" s="160"/>
      <c r="AA14" s="158"/>
    </row>
    <row r="15" spans="2:27" ht="72" customHeight="1" thickBot="1" x14ac:dyDescent="0.25">
      <c r="B15" s="143"/>
      <c r="C15" s="17">
        <v>3</v>
      </c>
      <c r="D15" s="62"/>
      <c r="E15" s="62"/>
      <c r="F15" s="65">
        <f>(3.935/295.518)</f>
        <v>1.3315601756914978E-2</v>
      </c>
      <c r="G15" s="165"/>
      <c r="H15" s="161"/>
      <c r="N15" s="75"/>
      <c r="Y15" s="158"/>
      <c r="Z15" s="160"/>
      <c r="AA15" s="158"/>
    </row>
    <row r="16" spans="2:27" ht="84" customHeight="1" thickBot="1" x14ac:dyDescent="0.25">
      <c r="B16" s="143"/>
      <c r="C16" s="17">
        <v>4</v>
      </c>
      <c r="D16" s="62"/>
      <c r="E16" s="62"/>
      <c r="F16" s="65">
        <f>(3.673/279.853)</f>
        <v>1.3124747635365709E-2</v>
      </c>
      <c r="G16" s="165"/>
      <c r="H16" s="161"/>
      <c r="N16" s="75"/>
      <c r="Y16" s="158"/>
      <c r="Z16" s="160"/>
      <c r="AA16" s="158"/>
    </row>
    <row r="17" spans="2:27" ht="70.5" customHeight="1" thickBot="1" x14ac:dyDescent="0.25">
      <c r="B17" s="157"/>
      <c r="C17" s="19">
        <v>5</v>
      </c>
      <c r="D17" s="63"/>
      <c r="E17" s="63"/>
      <c r="F17" s="66">
        <v>1.423E-2</v>
      </c>
      <c r="G17" s="166"/>
      <c r="H17" s="161"/>
      <c r="I17" t="s">
        <v>34</v>
      </c>
      <c r="N17" s="75"/>
      <c r="Y17" s="158"/>
      <c r="Z17" s="160"/>
      <c r="AA17" s="158"/>
    </row>
    <row r="18" spans="2:27" ht="65.25" customHeight="1" thickBot="1" x14ac:dyDescent="0.25">
      <c r="B18" s="156" t="s">
        <v>8</v>
      </c>
      <c r="C18" s="18">
        <v>1</v>
      </c>
      <c r="D18" s="64"/>
      <c r="E18" s="64"/>
      <c r="F18" s="67">
        <f>2.31/(302.417+2.31)</f>
        <v>7.5805557105212218E-3</v>
      </c>
      <c r="G18" s="164">
        <f>AVERAGE(F18:F22)</f>
        <v>1.0470874015755322E-2</v>
      </c>
      <c r="H18" s="161">
        <f t="shared" ref="H18" si="2">1-G18</f>
        <v>0.9895291259842447</v>
      </c>
      <c r="N18" s="75"/>
      <c r="Y18" s="158"/>
      <c r="Z18" s="160"/>
      <c r="AA18" s="158"/>
    </row>
    <row r="19" spans="2:27" ht="65.25" customHeight="1" thickBot="1" x14ac:dyDescent="0.25">
      <c r="B19" s="143"/>
      <c r="C19" s="17">
        <v>2</v>
      </c>
      <c r="D19" s="62"/>
      <c r="E19" s="62"/>
      <c r="F19" s="65">
        <f>2.686/(297.376+2.686)</f>
        <v>8.9514833601055787E-3</v>
      </c>
      <c r="G19" s="165"/>
      <c r="H19" s="161"/>
      <c r="N19" s="75"/>
      <c r="Y19" s="158"/>
      <c r="Z19" s="160"/>
      <c r="AA19" s="158"/>
    </row>
    <row r="20" spans="2:27" ht="65.25" customHeight="1" thickBot="1" x14ac:dyDescent="0.25">
      <c r="B20" s="143"/>
      <c r="C20" s="17">
        <v>3</v>
      </c>
      <c r="D20" s="62" t="e" vm="1">
        <v>#VALUE!</v>
      </c>
      <c r="E20" s="62"/>
      <c r="F20" s="65">
        <f>6.295/297.493</f>
        <v>2.1160161751705084E-2</v>
      </c>
      <c r="G20" s="165"/>
      <c r="H20" s="161"/>
      <c r="N20" s="75"/>
      <c r="Y20" s="158"/>
      <c r="Z20" s="160"/>
      <c r="AA20" s="158"/>
    </row>
    <row r="21" spans="2:27" ht="65.25" customHeight="1" thickBot="1" x14ac:dyDescent="0.25">
      <c r="B21" s="143"/>
      <c r="C21" s="17">
        <v>4</v>
      </c>
      <c r="D21" s="62"/>
      <c r="E21" s="62"/>
      <c r="F21" s="65">
        <f>2.152/(292.087+2.152)</f>
        <v>7.3137823334092364E-3</v>
      </c>
      <c r="G21" s="165"/>
      <c r="H21" s="161"/>
      <c r="N21" s="75"/>
      <c r="Y21" s="158"/>
      <c r="Z21" s="160"/>
      <c r="AA21" s="158"/>
    </row>
    <row r="22" spans="2:27" ht="63.75" customHeight="1" thickBot="1" x14ac:dyDescent="0.25">
      <c r="B22" s="157"/>
      <c r="C22" s="19">
        <v>5</v>
      </c>
      <c r="D22" s="63"/>
      <c r="E22" s="63"/>
      <c r="F22" s="66">
        <f>2.183/(294.889+2.183)</f>
        <v>7.3483869230354928E-3</v>
      </c>
      <c r="G22" s="166"/>
      <c r="H22" s="161"/>
      <c r="I22" t="s">
        <v>35</v>
      </c>
      <c r="N22" s="75"/>
      <c r="Y22" s="158"/>
      <c r="Z22" s="160"/>
      <c r="AA22" s="158"/>
    </row>
    <row r="23" spans="2:27" ht="79.5" customHeight="1" thickBot="1" x14ac:dyDescent="0.25">
      <c r="B23" s="156" t="s">
        <v>9</v>
      </c>
      <c r="C23" s="18">
        <v>1</v>
      </c>
      <c r="D23" s="64"/>
      <c r="E23" s="64"/>
      <c r="F23" s="67">
        <f>0.1312/(286.801+0.1312)</f>
        <v>4.5725087668794238E-4</v>
      </c>
      <c r="G23" s="164">
        <f>AVERAGE(F23:F27)</f>
        <v>5.9696996618813043E-3</v>
      </c>
      <c r="H23" s="161">
        <f t="shared" ref="H23" si="3">1-G23</f>
        <v>0.99403030033811868</v>
      </c>
      <c r="N23" s="75"/>
      <c r="Y23" s="158"/>
      <c r="Z23" s="160"/>
      <c r="AA23" s="158"/>
    </row>
    <row r="24" spans="2:27" ht="79.5" customHeight="1" thickBot="1" x14ac:dyDescent="0.25">
      <c r="B24" s="143"/>
      <c r="C24" s="17">
        <v>2</v>
      </c>
      <c r="D24" s="62"/>
      <c r="E24" s="62"/>
      <c r="F24" s="65">
        <f>0.8688/(297.596+0.8688)</f>
        <v>2.9108960252599301E-3</v>
      </c>
      <c r="G24" s="165"/>
      <c r="H24" s="161"/>
      <c r="N24" s="75"/>
      <c r="Y24" s="158"/>
      <c r="Z24" s="160"/>
      <c r="AA24" s="158"/>
    </row>
    <row r="25" spans="2:27" ht="79.5" customHeight="1" thickBot="1" x14ac:dyDescent="0.25">
      <c r="B25" s="143"/>
      <c r="C25" s="17">
        <v>3</v>
      </c>
      <c r="D25" s="62"/>
      <c r="E25" s="62"/>
      <c r="F25" s="65">
        <f>0.07046/(290.707+0.07046)</f>
        <v>2.4231589339833971E-4</v>
      </c>
      <c r="G25" s="165"/>
      <c r="H25" s="161"/>
      <c r="I25" t="s">
        <v>36</v>
      </c>
      <c r="N25" s="75"/>
      <c r="Y25" s="158"/>
      <c r="Z25" s="160"/>
      <c r="AA25" s="158"/>
    </row>
    <row r="26" spans="2:27" ht="79.5" customHeight="1" thickBot="1" x14ac:dyDescent="0.25">
      <c r="B26" s="143"/>
      <c r="C26" s="17">
        <v>4</v>
      </c>
      <c r="D26" s="62"/>
      <c r="E26" s="62"/>
      <c r="F26" s="65">
        <f>6.924/(296.442+6.924)</f>
        <v>2.2823915666224957E-2</v>
      </c>
      <c r="G26" s="165"/>
      <c r="H26" s="161"/>
      <c r="I26" t="s">
        <v>37</v>
      </c>
      <c r="N26" s="75"/>
      <c r="Y26" s="158"/>
      <c r="Z26" s="160"/>
      <c r="AA26" s="158"/>
    </row>
    <row r="27" spans="2:27" ht="79.5" customHeight="1" thickBot="1" x14ac:dyDescent="0.25">
      <c r="B27" s="157"/>
      <c r="C27" s="19">
        <v>5</v>
      </c>
      <c r="D27" s="63"/>
      <c r="E27" s="63"/>
      <c r="F27" s="66">
        <f>1.033/(301.534+1.033)</f>
        <v>3.4141198478353551E-3</v>
      </c>
      <c r="G27" s="166"/>
      <c r="H27" s="161"/>
      <c r="I27" t="s">
        <v>38</v>
      </c>
      <c r="N27" s="75"/>
      <c r="Y27" s="158"/>
      <c r="Z27" s="160"/>
      <c r="AA27" s="158"/>
    </row>
    <row r="28" spans="2:27" ht="79.5" customHeight="1" thickBot="1" x14ac:dyDescent="0.25">
      <c r="B28" s="156" t="s">
        <v>11</v>
      </c>
      <c r="C28" s="18">
        <v>1</v>
      </c>
      <c r="D28" s="64"/>
      <c r="E28" s="64"/>
      <c r="F28" s="67">
        <f>2.561/(307.103+2.561)</f>
        <v>8.2702542110158102E-3</v>
      </c>
      <c r="G28" s="164">
        <f>AVERAGE(F28:F32)</f>
        <v>6.7849817470967601E-3</v>
      </c>
      <c r="H28" s="161">
        <f t="shared" ref="H28" si="4">1-G28</f>
        <v>0.99321501825290326</v>
      </c>
      <c r="N28" s="75"/>
      <c r="Y28" s="158"/>
      <c r="Z28" s="160"/>
      <c r="AA28" s="158"/>
    </row>
    <row r="29" spans="2:27" ht="79.5" customHeight="1" thickBot="1" x14ac:dyDescent="0.25">
      <c r="B29" s="143"/>
      <c r="C29" s="17">
        <v>2</v>
      </c>
      <c r="D29" s="62"/>
      <c r="E29" s="62"/>
      <c r="F29" s="65">
        <f>2.183/(299.326+2.183)</f>
        <v>7.2402482181294749E-3</v>
      </c>
      <c r="G29" s="165"/>
      <c r="H29" s="161"/>
      <c r="N29" s="75"/>
      <c r="Y29" s="158"/>
      <c r="Z29" s="160"/>
      <c r="AA29" s="158"/>
    </row>
    <row r="30" spans="2:27" ht="79.5" customHeight="1" thickBot="1" x14ac:dyDescent="0.25">
      <c r="B30" s="143"/>
      <c r="C30" s="17">
        <v>3</v>
      </c>
      <c r="D30" s="62"/>
      <c r="E30" s="62"/>
      <c r="F30" s="65">
        <f>1.795/(297.161+1.795)</f>
        <v>6.0042280469366728E-3</v>
      </c>
      <c r="G30" s="165"/>
      <c r="H30" s="161"/>
      <c r="N30" s="75"/>
      <c r="Y30" s="158"/>
      <c r="Z30" s="160"/>
      <c r="AA30" s="158"/>
    </row>
    <row r="31" spans="2:27" ht="79.5" customHeight="1" thickBot="1" x14ac:dyDescent="0.25">
      <c r="B31" s="143"/>
      <c r="C31" s="17">
        <v>4</v>
      </c>
      <c r="D31" s="62"/>
      <c r="E31" s="62"/>
      <c r="F31" s="65">
        <f>1.21/(297.379+1.21)</f>
        <v>4.0523930888277868E-3</v>
      </c>
      <c r="G31" s="165"/>
      <c r="H31" s="161"/>
      <c r="N31" s="75"/>
      <c r="Y31" s="158"/>
      <c r="Z31" s="160"/>
      <c r="AA31" s="158"/>
    </row>
    <row r="32" spans="2:27" ht="79.5" customHeight="1" thickBot="1" x14ac:dyDescent="0.25">
      <c r="B32" s="157"/>
      <c r="C32" s="19">
        <v>5</v>
      </c>
      <c r="D32" s="63"/>
      <c r="E32" s="63"/>
      <c r="F32" s="66">
        <f>2.555/(303.148+2.555)</f>
        <v>8.3577851705740544E-3</v>
      </c>
      <c r="G32" s="166"/>
      <c r="H32" s="161"/>
      <c r="I32" t="s">
        <v>39</v>
      </c>
      <c r="N32" s="75"/>
      <c r="Y32" s="158"/>
      <c r="Z32" s="160"/>
      <c r="AA32" s="158"/>
    </row>
    <row r="33" spans="2:27" ht="80.25" customHeight="1" thickBot="1" x14ac:dyDescent="0.25">
      <c r="B33" s="156" t="s">
        <v>12</v>
      </c>
      <c r="C33" s="18">
        <v>1</v>
      </c>
      <c r="D33" s="64"/>
      <c r="E33" s="64"/>
      <c r="F33" s="67">
        <f>2.623/(290.503+2.623)</f>
        <v>8.9483703253890826E-3</v>
      </c>
      <c r="G33" s="164">
        <f>AVERAGE(F33:F37)</f>
        <v>1.0081409253520668E-2</v>
      </c>
      <c r="H33" s="161">
        <f t="shared" ref="H33" si="5">1-G33</f>
        <v>0.98991859074647937</v>
      </c>
      <c r="N33" s="75"/>
      <c r="Y33" s="158"/>
      <c r="Z33" s="160"/>
      <c r="AA33" s="158"/>
    </row>
    <row r="34" spans="2:27" ht="79.5" customHeight="1" thickBot="1" x14ac:dyDescent="0.25">
      <c r="B34" s="143"/>
      <c r="C34" s="17">
        <v>2</v>
      </c>
      <c r="D34" s="62"/>
      <c r="E34" s="62"/>
      <c r="F34" s="65">
        <f>5.729/(288.258+5.729)</f>
        <v>1.9487256239221463E-2</v>
      </c>
      <c r="G34" s="165"/>
      <c r="H34" s="161"/>
      <c r="N34" s="75"/>
      <c r="Y34" s="158"/>
      <c r="Z34" s="160"/>
      <c r="AA34" s="158"/>
    </row>
    <row r="35" spans="2:27" ht="78" customHeight="1" thickBot="1" x14ac:dyDescent="0.25">
      <c r="B35" s="143"/>
      <c r="C35" s="17">
        <v>3</v>
      </c>
      <c r="D35" s="62"/>
      <c r="E35" s="62"/>
      <c r="F35" s="65">
        <f>1.192/(294.557+1.192)</f>
        <v>4.0304447352315642E-3</v>
      </c>
      <c r="G35" s="165"/>
      <c r="H35" s="161"/>
      <c r="N35" s="75"/>
      <c r="Y35" s="158"/>
      <c r="Z35" s="160"/>
      <c r="AA35" s="158"/>
    </row>
    <row r="36" spans="2:27" ht="72" customHeight="1" thickBot="1" x14ac:dyDescent="0.25">
      <c r="B36" s="143"/>
      <c r="C36" s="17">
        <v>4</v>
      </c>
      <c r="D36" s="62"/>
      <c r="E36" s="62"/>
      <c r="F36" s="65">
        <f>2.882/(300.496+2.882)</f>
        <v>9.4997000441693208E-3</v>
      </c>
      <c r="G36" s="165"/>
      <c r="H36" s="161"/>
      <c r="N36" s="75"/>
      <c r="Y36" s="158"/>
      <c r="Z36" s="160"/>
      <c r="AA36" s="158"/>
    </row>
    <row r="37" spans="2:27" ht="70.5" customHeight="1" thickBot="1" x14ac:dyDescent="0.25">
      <c r="B37" s="157"/>
      <c r="C37" s="19">
        <v>5</v>
      </c>
      <c r="D37" s="63"/>
      <c r="E37" s="63"/>
      <c r="F37" s="66">
        <f>2.494/(292.959+2.494)</f>
        <v>8.4412749235919082E-3</v>
      </c>
      <c r="G37" s="166"/>
      <c r="H37" s="161"/>
      <c r="I37" t="s">
        <v>40</v>
      </c>
      <c r="N37" s="75"/>
      <c r="Y37" s="158"/>
      <c r="Z37" s="160"/>
      <c r="AA37" s="158"/>
    </row>
    <row r="38" spans="2:27" ht="65.25" customHeight="1" thickBot="1" x14ac:dyDescent="0.25">
      <c r="B38" s="156" t="s">
        <v>13</v>
      </c>
      <c r="C38" s="18">
        <v>1</v>
      </c>
      <c r="D38" s="64"/>
      <c r="E38" s="64"/>
      <c r="F38" s="67">
        <f>24.702/(280.89+24.702)</f>
        <v>8.0833267886593896E-2</v>
      </c>
      <c r="G38" s="164">
        <f>AVERAGE(F39:F42)</f>
        <v>2.3639027283749729E-3</v>
      </c>
      <c r="H38" s="161">
        <f t="shared" ref="H38" si="6">1-G38</f>
        <v>0.99763609727162506</v>
      </c>
      <c r="N38" s="75"/>
      <c r="Y38" s="158"/>
      <c r="Z38" s="160"/>
      <c r="AA38" s="158"/>
    </row>
    <row r="39" spans="2:27" ht="64.5" customHeight="1" thickBot="1" x14ac:dyDescent="0.25">
      <c r="B39" s="143"/>
      <c r="C39" s="17">
        <v>2</v>
      </c>
      <c r="D39" s="62"/>
      <c r="E39" s="62"/>
      <c r="F39" s="65">
        <f>1.12/(299.769+1.12)</f>
        <v>3.7223029090461932E-3</v>
      </c>
      <c r="G39" s="165"/>
      <c r="H39" s="161"/>
      <c r="N39" s="75"/>
      <c r="Y39" s="158"/>
      <c r="Z39" s="160"/>
      <c r="AA39" s="158"/>
    </row>
    <row r="40" spans="2:27" ht="64.5" customHeight="1" thickBot="1" x14ac:dyDescent="0.25">
      <c r="B40" s="143"/>
      <c r="C40" s="17">
        <v>3</v>
      </c>
      <c r="D40" s="62"/>
      <c r="E40" s="62"/>
      <c r="F40" s="65">
        <f>0.543/(293.571+0.543)</f>
        <v>1.8462228931638751E-3</v>
      </c>
      <c r="G40" s="165"/>
      <c r="H40" s="161"/>
      <c r="N40" s="75"/>
      <c r="Y40" s="158"/>
      <c r="Z40" s="160"/>
      <c r="AA40" s="158"/>
    </row>
    <row r="41" spans="2:27" ht="63.75" customHeight="1" thickBot="1" x14ac:dyDescent="0.25">
      <c r="B41" s="143"/>
      <c r="C41" s="17">
        <v>4</v>
      </c>
      <c r="D41" s="62"/>
      <c r="E41" s="62"/>
      <c r="F41" s="65">
        <f>0.5294/(298.952+0.5294)</f>
        <v>1.7677224695757398E-3</v>
      </c>
      <c r="G41" s="165"/>
      <c r="H41" s="161"/>
      <c r="N41" s="75"/>
      <c r="Y41" s="158"/>
      <c r="Z41" s="160"/>
      <c r="AA41" s="158"/>
    </row>
    <row r="42" spans="2:27" ht="65.25" customHeight="1" thickBot="1" x14ac:dyDescent="0.25">
      <c r="B42" s="157"/>
      <c r="C42" s="19">
        <v>5</v>
      </c>
      <c r="D42" s="63"/>
      <c r="E42" s="63"/>
      <c r="F42" s="66">
        <f>0.6155/(289.802+0.6155)</f>
        <v>2.1193626417140838E-3</v>
      </c>
      <c r="G42" s="166"/>
      <c r="H42" s="161"/>
      <c r="I42" t="s">
        <v>35</v>
      </c>
      <c r="N42" s="75"/>
      <c r="Y42" s="158"/>
      <c r="Z42" s="160"/>
      <c r="AA42" s="158"/>
    </row>
    <row r="43" spans="2:27" ht="80.25" customHeight="1" thickBot="1" x14ac:dyDescent="0.25">
      <c r="B43" s="156" t="s">
        <v>14</v>
      </c>
      <c r="C43" s="18">
        <v>1</v>
      </c>
      <c r="D43" s="64"/>
      <c r="E43" s="64"/>
      <c r="F43" s="67">
        <f>0.09781/(288.916+0.09781)</f>
        <v>3.3842673469478847E-4</v>
      </c>
      <c r="G43" s="164">
        <f>AVERAGE(F43:F47)</f>
        <v>1.9757032569273831E-3</v>
      </c>
      <c r="H43" s="161">
        <f t="shared" ref="H43" si="7">1-G43</f>
        <v>0.99802429674307258</v>
      </c>
      <c r="I43" t="s">
        <v>41</v>
      </c>
      <c r="N43" s="75"/>
      <c r="Y43" s="163"/>
      <c r="Z43" s="160"/>
      <c r="AA43" s="158"/>
    </row>
    <row r="44" spans="2:27" ht="78.75" customHeight="1" thickBot="1" x14ac:dyDescent="0.25">
      <c r="B44" s="143"/>
      <c r="C44" s="17">
        <v>2</v>
      </c>
      <c r="D44" s="62"/>
      <c r="E44" s="62"/>
      <c r="F44" s="65">
        <f>0.1043/(297.34+0.1043)</f>
        <v>3.5065388713113681E-4</v>
      </c>
      <c r="G44" s="165"/>
      <c r="H44" s="161"/>
      <c r="N44" s="75"/>
      <c r="Y44" s="163"/>
      <c r="Z44" s="160"/>
      <c r="AA44" s="158"/>
    </row>
    <row r="45" spans="2:27" ht="79.5" customHeight="1" thickBot="1" x14ac:dyDescent="0.3">
      <c r="B45" s="143"/>
      <c r="C45" s="17">
        <v>3</v>
      </c>
      <c r="D45" s="62"/>
      <c r="E45" s="62"/>
      <c r="F45" s="65">
        <f>0.258/(296.783+0.258)</f>
        <v>8.6856696550307872E-4</v>
      </c>
      <c r="G45" s="165"/>
      <c r="H45" s="161"/>
      <c r="L45" s="71" t="s">
        <v>42</v>
      </c>
      <c r="N45" s="75"/>
      <c r="Y45" s="163"/>
      <c r="Z45" s="160"/>
      <c r="AA45" s="158"/>
    </row>
    <row r="46" spans="2:27" ht="80.25" customHeight="1" thickBot="1" x14ac:dyDescent="0.3">
      <c r="B46" s="143"/>
      <c r="C46" s="17">
        <v>4</v>
      </c>
      <c r="D46" s="62"/>
      <c r="E46" s="62"/>
      <c r="F46" s="65">
        <f>1.216/(302.845+1.219)</f>
        <v>3.9991580719848452E-3</v>
      </c>
      <c r="G46" s="165"/>
      <c r="H46" s="161"/>
      <c r="L46" s="70">
        <f>0.1355/(266.169+0.1355)</f>
        <v>5.0881603577859194E-4</v>
      </c>
      <c r="N46" s="75"/>
      <c r="Y46" s="163"/>
      <c r="Z46" s="160"/>
      <c r="AA46" s="158"/>
    </row>
    <row r="47" spans="2:27" ht="80.25" customHeight="1" thickBot="1" x14ac:dyDescent="0.25">
      <c r="B47" s="157"/>
      <c r="C47" s="19">
        <v>5</v>
      </c>
      <c r="D47" s="63"/>
      <c r="E47" s="63"/>
      <c r="F47" s="66">
        <f>1.321/(304.345+1.321)</f>
        <v>4.3217106253230645E-3</v>
      </c>
      <c r="G47" s="166"/>
      <c r="H47" s="162"/>
      <c r="I47" s="69" t="s">
        <v>43</v>
      </c>
      <c r="N47" s="75"/>
      <c r="Y47" s="163"/>
      <c r="Z47" s="160"/>
      <c r="AA47" s="158"/>
    </row>
    <row r="48" spans="2:27" ht="15.95" customHeight="1" x14ac:dyDescent="0.2">
      <c r="I48" t="s">
        <v>39</v>
      </c>
      <c r="N48" s="75"/>
    </row>
    <row r="49" spans="14:14" ht="15.95" customHeight="1" x14ac:dyDescent="0.2">
      <c r="N49" s="75"/>
    </row>
    <row r="50" spans="14:14" ht="15.95" customHeight="1" x14ac:dyDescent="0.2">
      <c r="N50" s="75"/>
    </row>
    <row r="51" spans="14:14" ht="15.6" customHeight="1" x14ac:dyDescent="0.2"/>
    <row r="52" spans="14:14" ht="15.6" customHeight="1" x14ac:dyDescent="0.2"/>
    <row r="53" spans="14:14" ht="15.6" customHeight="1" x14ac:dyDescent="0.2"/>
    <row r="54" spans="14:14" ht="15.6" customHeight="1" x14ac:dyDescent="0.2"/>
    <row r="55" spans="14:14" ht="15.6" customHeight="1" x14ac:dyDescent="0.2"/>
    <row r="56" spans="14:14" ht="15.6" customHeight="1" x14ac:dyDescent="0.2"/>
    <row r="57" spans="14:14" ht="15.6" customHeight="1" x14ac:dyDescent="0.2"/>
    <row r="58" spans="14:14" ht="15.6" customHeight="1" x14ac:dyDescent="0.2"/>
    <row r="59" spans="14:14" ht="15.6" customHeight="1" x14ac:dyDescent="0.2"/>
    <row r="60" spans="14:14" ht="15.6" customHeight="1" x14ac:dyDescent="0.2"/>
    <row r="61" spans="14:14" ht="15.6" customHeight="1" x14ac:dyDescent="0.2"/>
    <row r="62" spans="14:14" ht="15.6" customHeight="1" x14ac:dyDescent="0.2"/>
    <row r="63" spans="14:14" ht="15.6" customHeight="1" x14ac:dyDescent="0.2"/>
    <row r="64" spans="14:14" ht="15.6" customHeight="1" x14ac:dyDescent="0.2"/>
    <row r="65" ht="15.6" customHeight="1" x14ac:dyDescent="0.2"/>
    <row r="66" ht="15.6" customHeight="1" x14ac:dyDescent="0.2"/>
    <row r="67" ht="15.6" customHeight="1" x14ac:dyDescent="0.2"/>
    <row r="68" ht="15.6" customHeight="1" x14ac:dyDescent="0.2"/>
    <row r="69" ht="15.6" customHeight="1" x14ac:dyDescent="0.2"/>
    <row r="70" ht="15.6" customHeight="1" x14ac:dyDescent="0.2"/>
    <row r="71" ht="15.6" customHeight="1" x14ac:dyDescent="0.2"/>
    <row r="72" ht="15.6" customHeight="1" x14ac:dyDescent="0.2"/>
    <row r="73" ht="15.6" customHeight="1" x14ac:dyDescent="0.2"/>
    <row r="74" ht="15.6" customHeight="1" x14ac:dyDescent="0.2"/>
    <row r="75" ht="15.6" customHeight="1" x14ac:dyDescent="0.2"/>
    <row r="76" ht="15.6" customHeight="1" x14ac:dyDescent="0.2"/>
    <row r="77" ht="15.95" customHeight="1" x14ac:dyDescent="0.2"/>
    <row r="78" ht="15.6" customHeight="1" x14ac:dyDescent="0.2"/>
    <row r="79" ht="15.6" customHeight="1" x14ac:dyDescent="0.2"/>
    <row r="80" ht="15.6" customHeight="1" x14ac:dyDescent="0.2"/>
    <row r="81" ht="15.6" customHeight="1" x14ac:dyDescent="0.2"/>
    <row r="82" ht="15.95" customHeight="1" x14ac:dyDescent="0.2"/>
    <row r="83" ht="15.6" customHeight="1" x14ac:dyDescent="0.2"/>
    <row r="84" ht="15.6" customHeight="1" x14ac:dyDescent="0.2"/>
    <row r="85" ht="15.6" customHeight="1" x14ac:dyDescent="0.2"/>
    <row r="86" ht="15.6" customHeight="1" x14ac:dyDescent="0.2"/>
    <row r="87" ht="15.95" customHeight="1" x14ac:dyDescent="0.2"/>
  </sheetData>
  <mergeCells count="55">
    <mergeCell ref="G28:G32"/>
    <mergeCell ref="G33:G37"/>
    <mergeCell ref="G38:G42"/>
    <mergeCell ref="G43:G47"/>
    <mergeCell ref="G3:G7"/>
    <mergeCell ref="G8:G12"/>
    <mergeCell ref="G13:G17"/>
    <mergeCell ref="G23:G27"/>
    <mergeCell ref="G18:G22"/>
    <mergeCell ref="B28:B32"/>
    <mergeCell ref="B33:B37"/>
    <mergeCell ref="B38:B42"/>
    <mergeCell ref="B43:B47"/>
    <mergeCell ref="B3:B7"/>
    <mergeCell ref="B8:B12"/>
    <mergeCell ref="B13:B17"/>
    <mergeCell ref="B18:B22"/>
    <mergeCell ref="B23:B27"/>
    <mergeCell ref="H3:H7"/>
    <mergeCell ref="H8:H12"/>
    <mergeCell ref="H13:H17"/>
    <mergeCell ref="H18:H22"/>
    <mergeCell ref="H23:H27"/>
    <mergeCell ref="Z23:Z27"/>
    <mergeCell ref="H28:H32"/>
    <mergeCell ref="H33:H37"/>
    <mergeCell ref="H38:H42"/>
    <mergeCell ref="H43:H47"/>
    <mergeCell ref="Y43:Y47"/>
    <mergeCell ref="Y38:Y42"/>
    <mergeCell ref="Y33:Y37"/>
    <mergeCell ref="Y28:Y32"/>
    <mergeCell ref="Y23:Y27"/>
    <mergeCell ref="AA28:AA32"/>
    <mergeCell ref="AA33:AA37"/>
    <mergeCell ref="AA38:AA42"/>
    <mergeCell ref="AA43:AA47"/>
    <mergeCell ref="Z28:Z32"/>
    <mergeCell ref="Z33:Z37"/>
    <mergeCell ref="Z38:Z42"/>
    <mergeCell ref="Z43:Z47"/>
    <mergeCell ref="AA3:AA7"/>
    <mergeCell ref="AA8:AA12"/>
    <mergeCell ref="AA13:AA17"/>
    <mergeCell ref="AA18:AA22"/>
    <mergeCell ref="AA23:AA27"/>
    <mergeCell ref="Y18:Y22"/>
    <mergeCell ref="Y13:Y17"/>
    <mergeCell ref="Y8:Y12"/>
    <mergeCell ref="Y3:Y7"/>
    <mergeCell ref="Y2:Z2"/>
    <mergeCell ref="Z3:Z7"/>
    <mergeCell ref="Z8:Z12"/>
    <mergeCell ref="Z13:Z17"/>
    <mergeCell ref="Z18:Z22"/>
  </mergeCells>
  <pageMargins left="0.7" right="0.7" top="0.75" bottom="0.75" header="0.3" footer="0.3"/>
  <pageSetup paperSize="9" orientation="portrait" horizontalDpi="300" verticalDpi="0" copies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D3:K53"/>
  <sheetViews>
    <sheetView tabSelected="1" topLeftCell="A27" zoomScaleNormal="100" workbookViewId="0">
      <selection activeCell="L11" sqref="L11"/>
    </sheetView>
  </sheetViews>
  <sheetFormatPr defaultRowHeight="12.75" x14ac:dyDescent="0.2"/>
  <cols>
    <col min="4" max="4" width="15.5703125" style="2" bestFit="1" customWidth="1"/>
    <col min="5" max="5" width="9.140625" style="1"/>
    <col min="6" max="6" width="11.42578125" style="1" customWidth="1"/>
    <col min="7" max="7" width="12.85546875" style="1" customWidth="1"/>
    <col min="8" max="8" width="8.85546875" style="14" customWidth="1"/>
    <col min="9" max="9" width="11.85546875" style="1" customWidth="1"/>
    <col min="10" max="10" width="16.140625" bestFit="1" customWidth="1"/>
    <col min="11" max="11" width="67.140625" customWidth="1"/>
  </cols>
  <sheetData>
    <row r="3" spans="4:11" ht="13.5" thickBot="1" x14ac:dyDescent="0.25">
      <c r="D3" s="16" t="s">
        <v>0</v>
      </c>
      <c r="E3" s="9" t="s">
        <v>1</v>
      </c>
      <c r="F3" s="9" t="s">
        <v>15</v>
      </c>
      <c r="G3" s="9" t="s">
        <v>45</v>
      </c>
      <c r="H3" s="15" t="s">
        <v>46</v>
      </c>
      <c r="I3" s="9" t="s">
        <v>47</v>
      </c>
      <c r="J3" s="9" t="s">
        <v>48</v>
      </c>
      <c r="K3" s="9" t="s">
        <v>49</v>
      </c>
    </row>
    <row r="4" spans="4:11" x14ac:dyDescent="0.2">
      <c r="D4" s="170" t="s">
        <v>5</v>
      </c>
      <c r="E4" s="5">
        <v>1</v>
      </c>
      <c r="F4" s="5">
        <v>0.40573599999999993</v>
      </c>
      <c r="G4" s="5" t="s">
        <v>50</v>
      </c>
      <c r="H4" s="11" t="b">
        <v>1</v>
      </c>
      <c r="I4" s="10"/>
      <c r="J4" s="6"/>
      <c r="K4" s="6"/>
    </row>
    <row r="5" spans="4:11" x14ac:dyDescent="0.2">
      <c r="D5" s="168"/>
      <c r="E5" s="3">
        <v>2</v>
      </c>
      <c r="F5" s="3">
        <v>0.395146</v>
      </c>
      <c r="G5" s="3"/>
      <c r="H5" s="12" t="b">
        <v>1</v>
      </c>
      <c r="I5" s="10"/>
      <c r="J5" s="4"/>
      <c r="K5" s="4" t="s">
        <v>51</v>
      </c>
    </row>
    <row r="6" spans="4:11" x14ac:dyDescent="0.2">
      <c r="D6" s="168"/>
      <c r="E6" s="3">
        <v>3</v>
      </c>
      <c r="F6" s="3">
        <v>0.40906200000000004</v>
      </c>
      <c r="G6" s="3"/>
      <c r="H6" s="12" t="b">
        <v>1</v>
      </c>
      <c r="I6" s="3"/>
      <c r="J6" s="4"/>
      <c r="K6" s="4"/>
    </row>
    <row r="7" spans="4:11" x14ac:dyDescent="0.2">
      <c r="D7" s="168"/>
      <c r="E7" s="3">
        <v>4</v>
      </c>
      <c r="F7" s="3">
        <v>0.40953000000000001</v>
      </c>
      <c r="G7" s="3"/>
      <c r="H7" s="12" t="b">
        <v>1</v>
      </c>
      <c r="I7" s="3"/>
      <c r="J7" s="4"/>
      <c r="K7" s="4"/>
    </row>
    <row r="8" spans="4:11" ht="13.5" thickBot="1" x14ac:dyDescent="0.25">
      <c r="D8" s="169"/>
      <c r="E8" s="7">
        <v>5</v>
      </c>
      <c r="F8" s="7">
        <v>0.41097799999999995</v>
      </c>
      <c r="G8" s="7"/>
      <c r="H8" s="13" t="b">
        <v>1</v>
      </c>
      <c r="I8" s="7"/>
      <c r="J8" s="8"/>
      <c r="K8" s="8"/>
    </row>
    <row r="9" spans="4:11" x14ac:dyDescent="0.2">
      <c r="D9" s="170" t="s">
        <v>6</v>
      </c>
      <c r="E9" s="5">
        <v>1</v>
      </c>
      <c r="F9" s="5">
        <v>0.40600000000000003</v>
      </c>
      <c r="G9" s="5"/>
      <c r="H9" s="11" t="b">
        <v>1</v>
      </c>
      <c r="I9" s="5"/>
      <c r="J9" s="6"/>
      <c r="K9" s="6"/>
    </row>
    <row r="10" spans="4:11" x14ac:dyDescent="0.2">
      <c r="D10" s="168"/>
      <c r="E10" s="3">
        <v>2</v>
      </c>
      <c r="F10" s="3">
        <v>0.38418399999999997</v>
      </c>
      <c r="G10" s="3"/>
      <c r="H10" s="12" t="b">
        <v>1</v>
      </c>
      <c r="I10" s="3"/>
      <c r="J10" s="4"/>
      <c r="K10" s="4" t="s">
        <v>52</v>
      </c>
    </row>
    <row r="11" spans="4:11" x14ac:dyDescent="0.2">
      <c r="D11" s="168"/>
      <c r="E11" s="3">
        <v>3</v>
      </c>
      <c r="F11" s="3">
        <v>0.40056599999999998</v>
      </c>
      <c r="G11" s="3"/>
      <c r="H11" s="12"/>
      <c r="I11" s="3"/>
      <c r="J11" s="4"/>
      <c r="K11" s="4"/>
    </row>
    <row r="12" spans="4:11" x14ac:dyDescent="0.2">
      <c r="D12" s="168"/>
      <c r="E12" s="3">
        <v>4</v>
      </c>
      <c r="F12" s="3">
        <v>0.399316</v>
      </c>
      <c r="G12" s="3"/>
      <c r="H12" s="12"/>
      <c r="I12" s="3"/>
      <c r="J12" s="4"/>
      <c r="K12" s="4" t="s">
        <v>53</v>
      </c>
    </row>
    <row r="13" spans="4:11" ht="13.5" thickBot="1" x14ac:dyDescent="0.25">
      <c r="D13" s="169"/>
      <c r="E13" s="7">
        <v>5</v>
      </c>
      <c r="F13" s="7">
        <v>0.39012600000000008</v>
      </c>
      <c r="G13" s="7"/>
      <c r="H13" s="13"/>
      <c r="I13" s="7"/>
      <c r="J13" s="8"/>
      <c r="K13" s="8"/>
    </row>
    <row r="14" spans="4:11" ht="12.75" customHeight="1" x14ac:dyDescent="0.2">
      <c r="D14" s="167" t="s">
        <v>7</v>
      </c>
      <c r="E14" s="5">
        <v>1</v>
      </c>
      <c r="F14" s="5">
        <v>0.40282400000000002</v>
      </c>
      <c r="G14" s="5"/>
      <c r="H14" s="11"/>
      <c r="I14" s="5"/>
      <c r="J14" s="6"/>
      <c r="K14" s="6" t="s">
        <v>54</v>
      </c>
    </row>
    <row r="15" spans="4:11" x14ac:dyDescent="0.2">
      <c r="D15" s="168"/>
      <c r="E15" s="3">
        <v>2</v>
      </c>
      <c r="F15" s="3">
        <v>0.39976800000000001</v>
      </c>
      <c r="G15" s="3"/>
      <c r="H15" s="12"/>
      <c r="I15" s="3"/>
      <c r="J15" s="4"/>
      <c r="K15" s="4"/>
    </row>
    <row r="16" spans="4:11" x14ac:dyDescent="0.2">
      <c r="D16" s="168"/>
      <c r="E16" s="3">
        <v>3</v>
      </c>
      <c r="F16" s="3">
        <v>0.40056599999999998</v>
      </c>
      <c r="G16" s="3"/>
      <c r="H16" s="12"/>
      <c r="I16" s="3"/>
      <c r="J16" s="4"/>
      <c r="K16" s="4"/>
    </row>
    <row r="17" spans="4:11" x14ac:dyDescent="0.2">
      <c r="D17" s="168"/>
      <c r="E17" s="3">
        <v>4</v>
      </c>
      <c r="F17" s="3">
        <v>0.399316</v>
      </c>
      <c r="G17" s="3"/>
      <c r="H17" s="12"/>
      <c r="I17" s="3"/>
      <c r="J17" s="4"/>
      <c r="K17" s="4"/>
    </row>
    <row r="18" spans="4:11" ht="13.5" thickBot="1" x14ac:dyDescent="0.25">
      <c r="D18" s="169"/>
      <c r="E18" s="7">
        <v>5</v>
      </c>
      <c r="F18" s="7">
        <v>0.39012600000000008</v>
      </c>
      <c r="G18" s="7"/>
      <c r="H18" s="13"/>
      <c r="I18" s="7"/>
      <c r="J18" s="8"/>
      <c r="K18" s="8"/>
    </row>
    <row r="19" spans="4:11" ht="12.75" customHeight="1" x14ac:dyDescent="0.2">
      <c r="D19" s="167" t="s">
        <v>8</v>
      </c>
      <c r="E19" s="5">
        <v>1</v>
      </c>
      <c r="F19" s="5">
        <v>0.40566800000000003</v>
      </c>
      <c r="G19" s="5"/>
      <c r="H19" s="11"/>
      <c r="I19" s="5"/>
      <c r="J19" s="6"/>
      <c r="K19" s="6"/>
    </row>
    <row r="20" spans="4:11" x14ac:dyDescent="0.2">
      <c r="D20" s="168"/>
      <c r="E20" s="3">
        <v>2</v>
      </c>
      <c r="F20" s="3">
        <v>0.40675800000000006</v>
      </c>
      <c r="G20" s="3"/>
      <c r="H20" s="12"/>
      <c r="I20" s="3"/>
      <c r="J20" s="4"/>
      <c r="K20" s="4"/>
    </row>
    <row r="21" spans="4:11" x14ac:dyDescent="0.2">
      <c r="D21" s="168"/>
      <c r="E21" s="3">
        <v>3</v>
      </c>
      <c r="F21" s="3">
        <v>0.40732799999999997</v>
      </c>
      <c r="G21" s="3"/>
      <c r="H21" s="12"/>
      <c r="I21" s="3"/>
      <c r="J21" s="4"/>
      <c r="K21" s="4"/>
    </row>
    <row r="22" spans="4:11" x14ac:dyDescent="0.2">
      <c r="D22" s="168"/>
      <c r="E22" s="3">
        <v>4</v>
      </c>
      <c r="F22" s="3">
        <v>0.40720400000000001</v>
      </c>
      <c r="G22" s="3"/>
      <c r="H22" s="12"/>
      <c r="I22" s="3"/>
      <c r="J22" s="4"/>
      <c r="K22" s="4"/>
    </row>
    <row r="23" spans="4:11" ht="13.5" thickBot="1" x14ac:dyDescent="0.25">
      <c r="D23" s="169"/>
      <c r="E23" s="7">
        <v>5</v>
      </c>
      <c r="F23" s="7">
        <v>0.40956200000000004</v>
      </c>
      <c r="G23" s="7"/>
      <c r="H23" s="13"/>
      <c r="I23" s="7"/>
      <c r="J23" s="8"/>
      <c r="K23" s="8"/>
    </row>
    <row r="24" spans="4:11" ht="12.75" customHeight="1" x14ac:dyDescent="0.2">
      <c r="D24" s="167" t="s">
        <v>9</v>
      </c>
      <c r="E24" s="5">
        <v>1</v>
      </c>
      <c r="F24" s="5">
        <v>0.40492800000000007</v>
      </c>
      <c r="G24" s="5"/>
      <c r="H24" s="11"/>
      <c r="I24" s="5"/>
      <c r="J24" s="6"/>
      <c r="K24" s="6"/>
    </row>
    <row r="25" spans="4:11" x14ac:dyDescent="0.2">
      <c r="D25" s="168"/>
      <c r="E25" s="3">
        <v>2</v>
      </c>
      <c r="F25" s="3">
        <v>0.402478</v>
      </c>
      <c r="G25" s="3"/>
      <c r="H25" s="12"/>
      <c r="I25" s="3"/>
      <c r="J25" s="4"/>
      <c r="K25" s="4"/>
    </row>
    <row r="26" spans="4:11" x14ac:dyDescent="0.2">
      <c r="D26" s="168"/>
      <c r="E26" s="3">
        <v>3</v>
      </c>
      <c r="F26" s="3">
        <v>0.406302</v>
      </c>
      <c r="G26" s="3"/>
      <c r="H26" s="12"/>
      <c r="I26" s="3"/>
      <c r="J26" s="4"/>
      <c r="K26" s="4"/>
    </row>
    <row r="27" spans="4:11" x14ac:dyDescent="0.2">
      <c r="D27" s="168"/>
      <c r="E27" s="3">
        <v>4</v>
      </c>
      <c r="F27" s="3">
        <v>0.40344400000000002</v>
      </c>
      <c r="G27" s="3"/>
      <c r="H27" s="12"/>
      <c r="I27" s="3"/>
      <c r="J27" s="4"/>
      <c r="K27" s="4" t="s">
        <v>55</v>
      </c>
    </row>
    <row r="28" spans="4:11" ht="13.5" thickBot="1" x14ac:dyDescent="0.25">
      <c r="D28" s="169"/>
      <c r="E28" s="7">
        <v>5</v>
      </c>
      <c r="F28" s="7">
        <v>0.40352399999999999</v>
      </c>
      <c r="G28" s="7"/>
      <c r="H28" s="13"/>
      <c r="I28" s="7"/>
      <c r="J28" s="8"/>
      <c r="K28" s="8"/>
    </row>
    <row r="29" spans="4:11" x14ac:dyDescent="0.2">
      <c r="D29" s="167" t="s">
        <v>10</v>
      </c>
      <c r="E29" s="5">
        <v>1</v>
      </c>
      <c r="F29" s="5">
        <v>0.37160599999999999</v>
      </c>
      <c r="G29" s="5"/>
      <c r="H29" s="11"/>
      <c r="I29" s="5"/>
      <c r="J29" s="6"/>
      <c r="K29" s="6"/>
    </row>
    <row r="30" spans="4:11" x14ac:dyDescent="0.2">
      <c r="D30" s="168"/>
      <c r="E30" s="3">
        <v>2</v>
      </c>
      <c r="F30" s="3">
        <v>0.37164000000000003</v>
      </c>
      <c r="G30" s="3"/>
      <c r="H30" s="12"/>
      <c r="I30" s="3"/>
      <c r="J30" s="4"/>
      <c r="K30" s="4"/>
    </row>
    <row r="31" spans="4:11" x14ac:dyDescent="0.2">
      <c r="D31" s="168"/>
      <c r="E31" s="3">
        <v>3</v>
      </c>
      <c r="F31" s="3">
        <v>0.37097199999999997</v>
      </c>
      <c r="G31" s="3"/>
      <c r="H31" s="12"/>
      <c r="I31" s="3"/>
      <c r="J31" s="4"/>
      <c r="K31" s="4"/>
    </row>
    <row r="32" spans="4:11" x14ac:dyDescent="0.2">
      <c r="D32" s="168"/>
      <c r="E32" s="3">
        <v>4</v>
      </c>
      <c r="F32" s="3">
        <v>0.37279400000000001</v>
      </c>
      <c r="G32" s="3"/>
      <c r="H32" s="12"/>
      <c r="I32" s="3"/>
      <c r="J32" s="4"/>
      <c r="K32" s="4"/>
    </row>
    <row r="33" spans="4:11" ht="13.5" thickBot="1" x14ac:dyDescent="0.25">
      <c r="D33" s="169"/>
      <c r="E33" s="7">
        <v>5</v>
      </c>
      <c r="F33" s="7">
        <v>0.372444</v>
      </c>
      <c r="G33" s="7"/>
      <c r="H33" s="13"/>
      <c r="I33" s="7"/>
      <c r="J33" s="8"/>
      <c r="K33" s="8"/>
    </row>
    <row r="34" spans="4:11" x14ac:dyDescent="0.2">
      <c r="D34" s="167" t="s">
        <v>11</v>
      </c>
      <c r="E34" s="5">
        <v>1</v>
      </c>
      <c r="F34" s="5">
        <v>0.40792</v>
      </c>
      <c r="G34" s="5"/>
      <c r="H34" s="11"/>
      <c r="I34" s="5"/>
      <c r="J34" s="6"/>
      <c r="K34" s="6" t="s">
        <v>56</v>
      </c>
    </row>
    <row r="35" spans="4:11" x14ac:dyDescent="0.2">
      <c r="D35" s="168"/>
      <c r="E35" s="3">
        <v>2</v>
      </c>
      <c r="F35" s="3">
        <v>0.41549999999999992</v>
      </c>
      <c r="G35" s="3"/>
      <c r="H35" s="12"/>
      <c r="I35" s="3"/>
      <c r="J35" s="4"/>
      <c r="K35" s="4"/>
    </row>
    <row r="36" spans="4:11" x14ac:dyDescent="0.2">
      <c r="D36" s="168"/>
      <c r="E36" s="3">
        <v>3</v>
      </c>
      <c r="F36" s="3">
        <v>0.41360400000000003</v>
      </c>
      <c r="G36" s="3"/>
      <c r="H36" s="12"/>
      <c r="I36" s="3"/>
      <c r="J36" s="4"/>
      <c r="K36" s="4"/>
    </row>
    <row r="37" spans="4:11" x14ac:dyDescent="0.2">
      <c r="D37" s="168"/>
      <c r="E37" s="3">
        <v>4</v>
      </c>
      <c r="F37" s="3">
        <v>0.41337000000000002</v>
      </c>
      <c r="G37" s="3"/>
      <c r="H37" s="12"/>
      <c r="I37" s="3"/>
      <c r="J37" s="4"/>
      <c r="K37" s="4" t="s">
        <v>57</v>
      </c>
    </row>
    <row r="38" spans="4:11" ht="13.5" thickBot="1" x14ac:dyDescent="0.25">
      <c r="D38" s="169"/>
      <c r="E38" s="7">
        <v>5</v>
      </c>
      <c r="F38" s="7">
        <v>0.41281800000000002</v>
      </c>
      <c r="G38" s="7"/>
      <c r="H38" s="13"/>
      <c r="I38" s="7"/>
      <c r="J38" s="8"/>
      <c r="K38" s="8" t="s">
        <v>58</v>
      </c>
    </row>
    <row r="39" spans="4:11" ht="12.75" customHeight="1" x14ac:dyDescent="0.2">
      <c r="D39" s="167" t="s">
        <v>12</v>
      </c>
      <c r="E39" s="5">
        <v>1</v>
      </c>
      <c r="F39" s="5">
        <v>0.40411000000000002</v>
      </c>
      <c r="G39" s="5"/>
      <c r="H39" s="11"/>
      <c r="I39" s="5"/>
      <c r="J39" s="6"/>
      <c r="K39" s="6"/>
    </row>
    <row r="40" spans="4:11" x14ac:dyDescent="0.2">
      <c r="D40" s="168"/>
      <c r="E40" s="3">
        <v>2</v>
      </c>
      <c r="F40" s="3">
        <v>0.40295599999999998</v>
      </c>
      <c r="G40" s="3"/>
      <c r="H40" s="12"/>
      <c r="I40" s="3"/>
      <c r="J40" s="4"/>
      <c r="K40" s="4"/>
    </row>
    <row r="41" spans="4:11" x14ac:dyDescent="0.2">
      <c r="D41" s="168"/>
      <c r="E41" s="3">
        <v>3</v>
      </c>
      <c r="F41" s="3">
        <v>0.40301799999999999</v>
      </c>
      <c r="G41" s="3"/>
      <c r="H41" s="12"/>
      <c r="I41" s="3"/>
      <c r="J41" s="4"/>
      <c r="K41" s="4"/>
    </row>
    <row r="42" spans="4:11" x14ac:dyDescent="0.2">
      <c r="D42" s="168"/>
      <c r="E42" s="3">
        <v>4</v>
      </c>
      <c r="F42" s="3">
        <v>0.40387399999999996</v>
      </c>
      <c r="G42" s="3"/>
      <c r="H42" s="12"/>
      <c r="I42" s="3"/>
      <c r="J42" s="4"/>
      <c r="K42" s="4"/>
    </row>
    <row r="43" spans="4:11" ht="13.5" thickBot="1" x14ac:dyDescent="0.25">
      <c r="D43" s="169"/>
      <c r="E43" s="7">
        <v>5</v>
      </c>
      <c r="F43" s="7">
        <v>0.40302199999999999</v>
      </c>
      <c r="G43" s="7"/>
      <c r="H43" s="13"/>
      <c r="I43" s="7"/>
      <c r="J43" s="8"/>
      <c r="K43" s="8" t="s">
        <v>59</v>
      </c>
    </row>
    <row r="44" spans="4:11" ht="12.75" customHeight="1" x14ac:dyDescent="0.2">
      <c r="D44" s="167" t="s">
        <v>13</v>
      </c>
      <c r="E44" s="5">
        <v>1</v>
      </c>
      <c r="F44" s="5">
        <v>0.38134400000000002</v>
      </c>
      <c r="G44" s="5"/>
      <c r="H44" s="11"/>
      <c r="I44" s="5"/>
      <c r="J44" s="6"/>
      <c r="K44" s="6" t="s">
        <v>60</v>
      </c>
    </row>
    <row r="45" spans="4:11" x14ac:dyDescent="0.2">
      <c r="D45" s="168"/>
      <c r="E45" s="3">
        <v>2</v>
      </c>
      <c r="F45" s="3">
        <v>0.40822600000000009</v>
      </c>
      <c r="G45" s="3"/>
      <c r="H45" s="12"/>
      <c r="I45" s="3"/>
      <c r="J45" s="4"/>
      <c r="K45" s="4" t="s">
        <v>61</v>
      </c>
    </row>
    <row r="46" spans="4:11" x14ac:dyDescent="0.2">
      <c r="D46" s="168"/>
      <c r="E46" s="3">
        <v>3</v>
      </c>
      <c r="F46" s="3">
        <v>0.407916</v>
      </c>
      <c r="G46" s="3"/>
      <c r="H46" s="12"/>
      <c r="I46" s="3"/>
      <c r="J46" s="4"/>
      <c r="K46" s="4" t="s">
        <v>61</v>
      </c>
    </row>
    <row r="47" spans="4:11" x14ac:dyDescent="0.2">
      <c r="D47" s="168"/>
      <c r="E47" s="3">
        <v>4</v>
      </c>
      <c r="F47" s="3">
        <v>0.40850799999999998</v>
      </c>
      <c r="G47" s="3"/>
      <c r="H47" s="12"/>
      <c r="I47" s="3"/>
      <c r="J47" s="4"/>
      <c r="K47" s="4" t="s">
        <v>61</v>
      </c>
    </row>
    <row r="48" spans="4:11" ht="13.5" thickBot="1" x14ac:dyDescent="0.25">
      <c r="D48" s="169"/>
      <c r="E48" s="7">
        <v>5</v>
      </c>
      <c r="F48" s="7">
        <v>0.40649199999999996</v>
      </c>
      <c r="G48" s="7"/>
      <c r="H48" s="13"/>
      <c r="I48" s="7"/>
      <c r="J48" s="8"/>
      <c r="K48" s="8"/>
    </row>
    <row r="49" spans="4:11" ht="12.75" customHeight="1" x14ac:dyDescent="0.2">
      <c r="D49" s="167" t="s">
        <v>14</v>
      </c>
      <c r="E49" s="5">
        <v>1</v>
      </c>
      <c r="F49" s="5">
        <v>0.41536400000000001</v>
      </c>
      <c r="G49" s="5"/>
      <c r="H49" s="11"/>
      <c r="I49" s="5"/>
      <c r="J49" s="6"/>
      <c r="K49" s="6"/>
    </row>
    <row r="50" spans="4:11" x14ac:dyDescent="0.2">
      <c r="D50" s="168"/>
      <c r="E50" s="3">
        <v>2</v>
      </c>
      <c r="F50" s="3">
        <v>0.41532799999999997</v>
      </c>
      <c r="G50" s="3"/>
      <c r="H50" s="12"/>
      <c r="I50" s="3"/>
      <c r="J50" s="4"/>
      <c r="K50" s="4"/>
    </row>
    <row r="51" spans="4:11" x14ac:dyDescent="0.2">
      <c r="D51" s="168"/>
      <c r="E51" s="3">
        <v>3</v>
      </c>
      <c r="F51" s="3">
        <v>0.414192</v>
      </c>
      <c r="G51" s="3"/>
      <c r="H51" s="12"/>
      <c r="I51" s="3"/>
      <c r="J51" s="4"/>
      <c r="K51" s="4" t="s">
        <v>62</v>
      </c>
    </row>
    <row r="52" spans="4:11" x14ac:dyDescent="0.2">
      <c r="D52" s="168"/>
      <c r="E52" s="3">
        <v>4</v>
      </c>
      <c r="F52" s="3">
        <v>0.41348799999999997</v>
      </c>
      <c r="G52" s="3"/>
      <c r="H52" s="12"/>
      <c r="I52" s="3"/>
      <c r="J52" s="4"/>
      <c r="K52" s="4"/>
    </row>
    <row r="53" spans="4:11" ht="13.5" thickBot="1" x14ac:dyDescent="0.25">
      <c r="D53" s="169"/>
      <c r="E53" s="7">
        <v>5</v>
      </c>
      <c r="F53" s="7">
        <v>0.41405000000000003</v>
      </c>
      <c r="G53" s="7"/>
      <c r="H53" s="13"/>
      <c r="I53" s="7"/>
      <c r="J53" s="8"/>
      <c r="K53" s="8" t="s">
        <v>63</v>
      </c>
    </row>
  </sheetData>
  <mergeCells count="10">
    <mergeCell ref="D34:D38"/>
    <mergeCell ref="D39:D43"/>
    <mergeCell ref="D44:D48"/>
    <mergeCell ref="D49:D53"/>
    <mergeCell ref="D4:D8"/>
    <mergeCell ref="D9:D13"/>
    <mergeCell ref="D14:D18"/>
    <mergeCell ref="D19:D23"/>
    <mergeCell ref="D24:D28"/>
    <mergeCell ref="D29:D3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7</xdr:col>
                    <xdr:colOff>209550</xdr:colOff>
                    <xdr:row>2</xdr:row>
                    <xdr:rowOff>142875</xdr:rowOff>
                  </from>
                  <to>
                    <xdr:col>7</xdr:col>
                    <xdr:colOff>447675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7</xdr:col>
                    <xdr:colOff>209550</xdr:colOff>
                    <xdr:row>3</xdr:row>
                    <xdr:rowOff>142875</xdr:rowOff>
                  </from>
                  <to>
                    <xdr:col>7</xdr:col>
                    <xdr:colOff>447675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7</xdr:col>
                    <xdr:colOff>209550</xdr:colOff>
                    <xdr:row>4</xdr:row>
                    <xdr:rowOff>142875</xdr:rowOff>
                  </from>
                  <to>
                    <xdr:col>7</xdr:col>
                    <xdr:colOff>447675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7</xdr:col>
                    <xdr:colOff>209550</xdr:colOff>
                    <xdr:row>5</xdr:row>
                    <xdr:rowOff>142875</xdr:rowOff>
                  </from>
                  <to>
                    <xdr:col>7</xdr:col>
                    <xdr:colOff>447675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7</xdr:col>
                    <xdr:colOff>209550</xdr:colOff>
                    <xdr:row>6</xdr:row>
                    <xdr:rowOff>142875</xdr:rowOff>
                  </from>
                  <to>
                    <xdr:col>7</xdr:col>
                    <xdr:colOff>447675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7</xdr:col>
                    <xdr:colOff>209550</xdr:colOff>
                    <xdr:row>7</xdr:row>
                    <xdr:rowOff>142875</xdr:rowOff>
                  </from>
                  <to>
                    <xdr:col>7</xdr:col>
                    <xdr:colOff>447675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7</xdr:col>
                    <xdr:colOff>209550</xdr:colOff>
                    <xdr:row>8</xdr:row>
                    <xdr:rowOff>142875</xdr:rowOff>
                  </from>
                  <to>
                    <xdr:col>7</xdr:col>
                    <xdr:colOff>447675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7</xdr:col>
                    <xdr:colOff>209550</xdr:colOff>
                    <xdr:row>9</xdr:row>
                    <xdr:rowOff>142875</xdr:rowOff>
                  </from>
                  <to>
                    <xdr:col>7</xdr:col>
                    <xdr:colOff>447675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7</xdr:col>
                    <xdr:colOff>209550</xdr:colOff>
                    <xdr:row>10</xdr:row>
                    <xdr:rowOff>142875</xdr:rowOff>
                  </from>
                  <to>
                    <xdr:col>7</xdr:col>
                    <xdr:colOff>447675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7</xdr:col>
                    <xdr:colOff>209550</xdr:colOff>
                    <xdr:row>11</xdr:row>
                    <xdr:rowOff>142875</xdr:rowOff>
                  </from>
                  <to>
                    <xdr:col>7</xdr:col>
                    <xdr:colOff>447675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7</xdr:col>
                    <xdr:colOff>209550</xdr:colOff>
                    <xdr:row>12</xdr:row>
                    <xdr:rowOff>142875</xdr:rowOff>
                  </from>
                  <to>
                    <xdr:col>7</xdr:col>
                    <xdr:colOff>447675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7</xdr:col>
                    <xdr:colOff>209550</xdr:colOff>
                    <xdr:row>13</xdr:row>
                    <xdr:rowOff>142875</xdr:rowOff>
                  </from>
                  <to>
                    <xdr:col>7</xdr:col>
                    <xdr:colOff>447675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7</xdr:col>
                    <xdr:colOff>209550</xdr:colOff>
                    <xdr:row>14</xdr:row>
                    <xdr:rowOff>142875</xdr:rowOff>
                  </from>
                  <to>
                    <xdr:col>7</xdr:col>
                    <xdr:colOff>447675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7</xdr:col>
                    <xdr:colOff>209550</xdr:colOff>
                    <xdr:row>15</xdr:row>
                    <xdr:rowOff>142875</xdr:rowOff>
                  </from>
                  <to>
                    <xdr:col>7</xdr:col>
                    <xdr:colOff>447675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7</xdr:col>
                    <xdr:colOff>209550</xdr:colOff>
                    <xdr:row>16</xdr:row>
                    <xdr:rowOff>142875</xdr:rowOff>
                  </from>
                  <to>
                    <xdr:col>7</xdr:col>
                    <xdr:colOff>447675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7</xdr:col>
                    <xdr:colOff>209550</xdr:colOff>
                    <xdr:row>17</xdr:row>
                    <xdr:rowOff>142875</xdr:rowOff>
                  </from>
                  <to>
                    <xdr:col>7</xdr:col>
                    <xdr:colOff>447675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7</xdr:col>
                    <xdr:colOff>209550</xdr:colOff>
                    <xdr:row>18</xdr:row>
                    <xdr:rowOff>142875</xdr:rowOff>
                  </from>
                  <to>
                    <xdr:col>7</xdr:col>
                    <xdr:colOff>447675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7</xdr:col>
                    <xdr:colOff>209550</xdr:colOff>
                    <xdr:row>19</xdr:row>
                    <xdr:rowOff>142875</xdr:rowOff>
                  </from>
                  <to>
                    <xdr:col>7</xdr:col>
                    <xdr:colOff>447675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7</xdr:col>
                    <xdr:colOff>209550</xdr:colOff>
                    <xdr:row>20</xdr:row>
                    <xdr:rowOff>142875</xdr:rowOff>
                  </from>
                  <to>
                    <xdr:col>7</xdr:col>
                    <xdr:colOff>447675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7</xdr:col>
                    <xdr:colOff>209550</xdr:colOff>
                    <xdr:row>21</xdr:row>
                    <xdr:rowOff>142875</xdr:rowOff>
                  </from>
                  <to>
                    <xdr:col>7</xdr:col>
                    <xdr:colOff>447675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7</xdr:col>
                    <xdr:colOff>209550</xdr:colOff>
                    <xdr:row>22</xdr:row>
                    <xdr:rowOff>142875</xdr:rowOff>
                  </from>
                  <to>
                    <xdr:col>7</xdr:col>
                    <xdr:colOff>447675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7</xdr:col>
                    <xdr:colOff>209550</xdr:colOff>
                    <xdr:row>23</xdr:row>
                    <xdr:rowOff>142875</xdr:rowOff>
                  </from>
                  <to>
                    <xdr:col>7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7</xdr:col>
                    <xdr:colOff>209550</xdr:colOff>
                    <xdr:row>24</xdr:row>
                    <xdr:rowOff>142875</xdr:rowOff>
                  </from>
                  <to>
                    <xdr:col>7</xdr:col>
                    <xdr:colOff>447675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7" name="Check Box 36">
              <controlPr defaultSize="0" autoFill="0" autoLine="0" autoPict="0">
                <anchor moveWithCells="1">
                  <from>
                    <xdr:col>7</xdr:col>
                    <xdr:colOff>209550</xdr:colOff>
                    <xdr:row>25</xdr:row>
                    <xdr:rowOff>142875</xdr:rowOff>
                  </from>
                  <to>
                    <xdr:col>7</xdr:col>
                    <xdr:colOff>447675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>
                <anchor moveWithCells="1">
                  <from>
                    <xdr:col>7</xdr:col>
                    <xdr:colOff>209550</xdr:colOff>
                    <xdr:row>26</xdr:row>
                    <xdr:rowOff>142875</xdr:rowOff>
                  </from>
                  <to>
                    <xdr:col>7</xdr:col>
                    <xdr:colOff>447675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9" name="Check Box 38">
              <controlPr defaultSize="0" autoFill="0" autoLine="0" autoPict="0">
                <anchor moveWithCells="1">
                  <from>
                    <xdr:col>7</xdr:col>
                    <xdr:colOff>209550</xdr:colOff>
                    <xdr:row>27</xdr:row>
                    <xdr:rowOff>142875</xdr:rowOff>
                  </from>
                  <to>
                    <xdr:col>7</xdr:col>
                    <xdr:colOff>447675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7</xdr:col>
                    <xdr:colOff>209550</xdr:colOff>
                    <xdr:row>28</xdr:row>
                    <xdr:rowOff>142875</xdr:rowOff>
                  </from>
                  <to>
                    <xdr:col>7</xdr:col>
                    <xdr:colOff>447675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7</xdr:col>
                    <xdr:colOff>209550</xdr:colOff>
                    <xdr:row>29</xdr:row>
                    <xdr:rowOff>142875</xdr:rowOff>
                  </from>
                  <to>
                    <xdr:col>7</xdr:col>
                    <xdr:colOff>447675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7</xdr:col>
                    <xdr:colOff>209550</xdr:colOff>
                    <xdr:row>30</xdr:row>
                    <xdr:rowOff>142875</xdr:rowOff>
                  </from>
                  <to>
                    <xdr:col>7</xdr:col>
                    <xdr:colOff>447675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7</xdr:col>
                    <xdr:colOff>209550</xdr:colOff>
                    <xdr:row>31</xdr:row>
                    <xdr:rowOff>142875</xdr:rowOff>
                  </from>
                  <to>
                    <xdr:col>7</xdr:col>
                    <xdr:colOff>447675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7</xdr:col>
                    <xdr:colOff>209550</xdr:colOff>
                    <xdr:row>32</xdr:row>
                    <xdr:rowOff>142875</xdr:rowOff>
                  </from>
                  <to>
                    <xdr:col>7</xdr:col>
                    <xdr:colOff>447675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7</xdr:col>
                    <xdr:colOff>209550</xdr:colOff>
                    <xdr:row>33</xdr:row>
                    <xdr:rowOff>142875</xdr:rowOff>
                  </from>
                  <to>
                    <xdr:col>7</xdr:col>
                    <xdr:colOff>447675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Check Box 45">
              <controlPr defaultSize="0" autoFill="0" autoLine="0" autoPict="0">
                <anchor moveWithCells="1">
                  <from>
                    <xdr:col>7</xdr:col>
                    <xdr:colOff>209550</xdr:colOff>
                    <xdr:row>34</xdr:row>
                    <xdr:rowOff>142875</xdr:rowOff>
                  </from>
                  <to>
                    <xdr:col>7</xdr:col>
                    <xdr:colOff>447675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7" name="Check Box 46">
              <controlPr defaultSize="0" autoFill="0" autoLine="0" autoPict="0">
                <anchor moveWithCells="1">
                  <from>
                    <xdr:col>7</xdr:col>
                    <xdr:colOff>209550</xdr:colOff>
                    <xdr:row>35</xdr:row>
                    <xdr:rowOff>142875</xdr:rowOff>
                  </from>
                  <to>
                    <xdr:col>7</xdr:col>
                    <xdr:colOff>447675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>
                <anchor moveWithCells="1">
                  <from>
                    <xdr:col>7</xdr:col>
                    <xdr:colOff>209550</xdr:colOff>
                    <xdr:row>36</xdr:row>
                    <xdr:rowOff>142875</xdr:rowOff>
                  </from>
                  <to>
                    <xdr:col>7</xdr:col>
                    <xdr:colOff>447675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9" name="Check Box 48">
              <controlPr defaultSize="0" autoFill="0" autoLine="0" autoPict="0">
                <anchor moveWithCells="1">
                  <from>
                    <xdr:col>7</xdr:col>
                    <xdr:colOff>209550</xdr:colOff>
                    <xdr:row>37</xdr:row>
                    <xdr:rowOff>142875</xdr:rowOff>
                  </from>
                  <to>
                    <xdr:col>7</xdr:col>
                    <xdr:colOff>447675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7</xdr:col>
                    <xdr:colOff>209550</xdr:colOff>
                    <xdr:row>38</xdr:row>
                    <xdr:rowOff>142875</xdr:rowOff>
                  </from>
                  <to>
                    <xdr:col>7</xdr:col>
                    <xdr:colOff>447675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7</xdr:col>
                    <xdr:colOff>209550</xdr:colOff>
                    <xdr:row>39</xdr:row>
                    <xdr:rowOff>142875</xdr:rowOff>
                  </from>
                  <to>
                    <xdr:col>7</xdr:col>
                    <xdr:colOff>447675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7</xdr:col>
                    <xdr:colOff>209550</xdr:colOff>
                    <xdr:row>40</xdr:row>
                    <xdr:rowOff>142875</xdr:rowOff>
                  </from>
                  <to>
                    <xdr:col>7</xdr:col>
                    <xdr:colOff>447675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7</xdr:col>
                    <xdr:colOff>209550</xdr:colOff>
                    <xdr:row>41</xdr:row>
                    <xdr:rowOff>142875</xdr:rowOff>
                  </from>
                  <to>
                    <xdr:col>7</xdr:col>
                    <xdr:colOff>447675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7</xdr:col>
                    <xdr:colOff>209550</xdr:colOff>
                    <xdr:row>42</xdr:row>
                    <xdr:rowOff>142875</xdr:rowOff>
                  </from>
                  <to>
                    <xdr:col>7</xdr:col>
                    <xdr:colOff>447675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7</xdr:col>
                    <xdr:colOff>209550</xdr:colOff>
                    <xdr:row>43</xdr:row>
                    <xdr:rowOff>142875</xdr:rowOff>
                  </from>
                  <to>
                    <xdr:col>7</xdr:col>
                    <xdr:colOff>447675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Check Box 55">
              <controlPr defaultSize="0" autoFill="0" autoLine="0" autoPict="0">
                <anchor moveWithCells="1">
                  <from>
                    <xdr:col>7</xdr:col>
                    <xdr:colOff>209550</xdr:colOff>
                    <xdr:row>44</xdr:row>
                    <xdr:rowOff>142875</xdr:rowOff>
                  </from>
                  <to>
                    <xdr:col>7</xdr:col>
                    <xdr:colOff>447675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Check Box 56">
              <controlPr defaultSize="0" autoFill="0" autoLine="0" autoPict="0">
                <anchor moveWithCells="1">
                  <from>
                    <xdr:col>7</xdr:col>
                    <xdr:colOff>209550</xdr:colOff>
                    <xdr:row>45</xdr:row>
                    <xdr:rowOff>142875</xdr:rowOff>
                  </from>
                  <to>
                    <xdr:col>7</xdr:col>
                    <xdr:colOff>447675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8" name="Check Box 57">
              <controlPr defaultSize="0" autoFill="0" autoLine="0" autoPict="0">
                <anchor moveWithCells="1">
                  <from>
                    <xdr:col>7</xdr:col>
                    <xdr:colOff>209550</xdr:colOff>
                    <xdr:row>46</xdr:row>
                    <xdr:rowOff>142875</xdr:rowOff>
                  </from>
                  <to>
                    <xdr:col>7</xdr:col>
                    <xdr:colOff>447675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9" name="Check Box 58">
              <controlPr defaultSize="0" autoFill="0" autoLine="0" autoPict="0">
                <anchor moveWithCells="1">
                  <from>
                    <xdr:col>7</xdr:col>
                    <xdr:colOff>209550</xdr:colOff>
                    <xdr:row>47</xdr:row>
                    <xdr:rowOff>142875</xdr:rowOff>
                  </from>
                  <to>
                    <xdr:col>7</xdr:col>
                    <xdr:colOff>447675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0" name="Check Box 59">
              <controlPr defaultSize="0" autoFill="0" autoLine="0" autoPict="0">
                <anchor moveWithCells="1">
                  <from>
                    <xdr:col>7</xdr:col>
                    <xdr:colOff>209550</xdr:colOff>
                    <xdr:row>48</xdr:row>
                    <xdr:rowOff>142875</xdr:rowOff>
                  </from>
                  <to>
                    <xdr:col>7</xdr:col>
                    <xdr:colOff>447675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1" name="Check Box 60">
              <controlPr defaultSize="0" autoFill="0" autoLine="0" autoPict="0">
                <anchor moveWithCells="1">
                  <from>
                    <xdr:col>7</xdr:col>
                    <xdr:colOff>209550</xdr:colOff>
                    <xdr:row>49</xdr:row>
                    <xdr:rowOff>142875</xdr:rowOff>
                  </from>
                  <to>
                    <xdr:col>7</xdr:col>
                    <xdr:colOff>447675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2" name="Check Box 61">
              <controlPr defaultSize="0" autoFill="0" autoLine="0" autoPict="0">
                <anchor moveWithCells="1">
                  <from>
                    <xdr:col>7</xdr:col>
                    <xdr:colOff>209550</xdr:colOff>
                    <xdr:row>50</xdr:row>
                    <xdr:rowOff>142875</xdr:rowOff>
                  </from>
                  <to>
                    <xdr:col>7</xdr:col>
                    <xdr:colOff>447675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3" name="Check Box 62">
              <controlPr defaultSize="0" autoFill="0" autoLine="0" autoPict="0">
                <anchor moveWithCells="1">
                  <from>
                    <xdr:col>7</xdr:col>
                    <xdr:colOff>209550</xdr:colOff>
                    <xdr:row>51</xdr:row>
                    <xdr:rowOff>142875</xdr:rowOff>
                  </from>
                  <to>
                    <xdr:col>7</xdr:col>
                    <xdr:colOff>447675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4" name="Check Box 63">
              <controlPr defaultSize="0" autoFill="0" autoLine="0" autoPict="0">
                <anchor moveWithCells="1">
                  <from>
                    <xdr:col>9</xdr:col>
                    <xdr:colOff>400050</xdr:colOff>
                    <xdr:row>2</xdr:row>
                    <xdr:rowOff>142875</xdr:rowOff>
                  </from>
                  <to>
                    <xdr:col>9</xdr:col>
                    <xdr:colOff>638175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5" name="Check Box 64">
              <controlPr defaultSize="0" autoFill="0" autoLine="0" autoPict="0">
                <anchor moveWithCells="1">
                  <from>
                    <xdr:col>9</xdr:col>
                    <xdr:colOff>400050</xdr:colOff>
                    <xdr:row>3</xdr:row>
                    <xdr:rowOff>142875</xdr:rowOff>
                  </from>
                  <to>
                    <xdr:col>9</xdr:col>
                    <xdr:colOff>638175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defaultSize="0" autoFill="0" autoLine="0" autoPict="0">
                <anchor moveWithCells="1">
                  <from>
                    <xdr:col>9</xdr:col>
                    <xdr:colOff>400050</xdr:colOff>
                    <xdr:row>4</xdr:row>
                    <xdr:rowOff>142875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Check Box 66">
              <controlPr defaultSize="0" autoFill="0" autoLine="0" autoPict="0">
                <anchor moveWithCells="1">
                  <from>
                    <xdr:col>9</xdr:col>
                    <xdr:colOff>400050</xdr:colOff>
                    <xdr:row>5</xdr:row>
                    <xdr:rowOff>142875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Check Box 67">
              <controlPr defaultSize="0" autoFill="0" autoLine="0" autoPict="0">
                <anchor moveWithCells="1">
                  <from>
                    <xdr:col>9</xdr:col>
                    <xdr:colOff>400050</xdr:colOff>
                    <xdr:row>6</xdr:row>
                    <xdr:rowOff>142875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9</xdr:col>
                    <xdr:colOff>400050</xdr:colOff>
                    <xdr:row>7</xdr:row>
                    <xdr:rowOff>142875</xdr:rowOff>
                  </from>
                  <to>
                    <xdr:col>9</xdr:col>
                    <xdr:colOff>638175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0" name="Check Box 69">
              <controlPr defaultSize="0" autoFill="0" autoLine="0" autoPict="0">
                <anchor moveWithCells="1">
                  <from>
                    <xdr:col>9</xdr:col>
                    <xdr:colOff>400050</xdr:colOff>
                    <xdr:row>8</xdr:row>
                    <xdr:rowOff>142875</xdr:rowOff>
                  </from>
                  <to>
                    <xdr:col>9</xdr:col>
                    <xdr:colOff>638175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1" name="Check Box 70">
              <controlPr defaultSize="0" autoFill="0" autoLine="0" autoPict="0">
                <anchor moveWithCells="1">
                  <from>
                    <xdr:col>9</xdr:col>
                    <xdr:colOff>400050</xdr:colOff>
                    <xdr:row>9</xdr:row>
                    <xdr:rowOff>142875</xdr:rowOff>
                  </from>
                  <to>
                    <xdr:col>9</xdr:col>
                    <xdr:colOff>638175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2" name="Check Box 71">
              <controlPr defaultSize="0" autoFill="0" autoLine="0" autoPict="0">
                <anchor moveWithCells="1">
                  <from>
                    <xdr:col>9</xdr:col>
                    <xdr:colOff>400050</xdr:colOff>
                    <xdr:row>10</xdr:row>
                    <xdr:rowOff>142875</xdr:rowOff>
                  </from>
                  <to>
                    <xdr:col>9</xdr:col>
                    <xdr:colOff>638175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3" name="Check Box 72">
              <controlPr defaultSize="0" autoFill="0" autoLine="0" autoPict="0">
                <anchor moveWithCells="1">
                  <from>
                    <xdr:col>9</xdr:col>
                    <xdr:colOff>400050</xdr:colOff>
                    <xdr:row>11</xdr:row>
                    <xdr:rowOff>142875</xdr:rowOff>
                  </from>
                  <to>
                    <xdr:col>9</xdr:col>
                    <xdr:colOff>638175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4" name="Check Box 73">
              <controlPr defaultSize="0" autoFill="0" autoLine="0" autoPict="0">
                <anchor moveWithCells="1">
                  <from>
                    <xdr:col>9</xdr:col>
                    <xdr:colOff>400050</xdr:colOff>
                    <xdr:row>12</xdr:row>
                    <xdr:rowOff>142875</xdr:rowOff>
                  </from>
                  <to>
                    <xdr:col>9</xdr:col>
                    <xdr:colOff>638175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5" name="Check Box 74">
              <controlPr defaultSize="0" autoFill="0" autoLine="0" autoPict="0">
                <anchor moveWithCells="1">
                  <from>
                    <xdr:col>9</xdr:col>
                    <xdr:colOff>400050</xdr:colOff>
                    <xdr:row>13</xdr:row>
                    <xdr:rowOff>142875</xdr:rowOff>
                  </from>
                  <to>
                    <xdr:col>9</xdr:col>
                    <xdr:colOff>638175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6" name="Check Box 75">
              <controlPr defaultSize="0" autoFill="0" autoLine="0" autoPict="0">
                <anchor moveWithCells="1">
                  <from>
                    <xdr:col>9</xdr:col>
                    <xdr:colOff>400050</xdr:colOff>
                    <xdr:row>14</xdr:row>
                    <xdr:rowOff>142875</xdr:rowOff>
                  </from>
                  <to>
                    <xdr:col>9</xdr:col>
                    <xdr:colOff>638175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7" name="Check Box 76">
              <controlPr defaultSize="0" autoFill="0" autoLine="0" autoPict="0">
                <anchor moveWithCells="1">
                  <from>
                    <xdr:col>9</xdr:col>
                    <xdr:colOff>400050</xdr:colOff>
                    <xdr:row>15</xdr:row>
                    <xdr:rowOff>142875</xdr:rowOff>
                  </from>
                  <to>
                    <xdr:col>9</xdr:col>
                    <xdr:colOff>638175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8" name="Check Box 77">
              <controlPr defaultSize="0" autoFill="0" autoLine="0" autoPict="0">
                <anchor moveWithCells="1">
                  <from>
                    <xdr:col>9</xdr:col>
                    <xdr:colOff>400050</xdr:colOff>
                    <xdr:row>16</xdr:row>
                    <xdr:rowOff>142875</xdr:rowOff>
                  </from>
                  <to>
                    <xdr:col>9</xdr:col>
                    <xdr:colOff>638175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9" name="Check Box 78">
              <controlPr defaultSize="0" autoFill="0" autoLine="0" autoPict="0">
                <anchor moveWithCells="1">
                  <from>
                    <xdr:col>9</xdr:col>
                    <xdr:colOff>400050</xdr:colOff>
                    <xdr:row>17</xdr:row>
                    <xdr:rowOff>142875</xdr:rowOff>
                  </from>
                  <to>
                    <xdr:col>9</xdr:col>
                    <xdr:colOff>638175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0" name="Check Box 79">
              <controlPr defaultSize="0" autoFill="0" autoLine="0" autoPict="0">
                <anchor moveWithCells="1">
                  <from>
                    <xdr:col>9</xdr:col>
                    <xdr:colOff>400050</xdr:colOff>
                    <xdr:row>18</xdr:row>
                    <xdr:rowOff>142875</xdr:rowOff>
                  </from>
                  <to>
                    <xdr:col>9</xdr:col>
                    <xdr:colOff>638175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1" name="Check Box 80">
              <controlPr defaultSize="0" autoFill="0" autoLine="0" autoPict="0">
                <anchor moveWithCells="1">
                  <from>
                    <xdr:col>9</xdr:col>
                    <xdr:colOff>400050</xdr:colOff>
                    <xdr:row>19</xdr:row>
                    <xdr:rowOff>142875</xdr:rowOff>
                  </from>
                  <to>
                    <xdr:col>9</xdr:col>
                    <xdr:colOff>638175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2" name="Check Box 81">
              <controlPr defaultSize="0" autoFill="0" autoLine="0" autoPict="0">
                <anchor moveWithCells="1">
                  <from>
                    <xdr:col>9</xdr:col>
                    <xdr:colOff>400050</xdr:colOff>
                    <xdr:row>20</xdr:row>
                    <xdr:rowOff>142875</xdr:rowOff>
                  </from>
                  <to>
                    <xdr:col>9</xdr:col>
                    <xdr:colOff>638175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3" name="Check Box 82">
              <controlPr defaultSize="0" autoFill="0" autoLine="0" autoPict="0">
                <anchor moveWithCells="1">
                  <from>
                    <xdr:col>9</xdr:col>
                    <xdr:colOff>400050</xdr:colOff>
                    <xdr:row>21</xdr:row>
                    <xdr:rowOff>142875</xdr:rowOff>
                  </from>
                  <to>
                    <xdr:col>9</xdr:col>
                    <xdr:colOff>638175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4" name="Check Box 83">
              <controlPr defaultSize="0" autoFill="0" autoLine="0" autoPict="0">
                <anchor moveWithCells="1">
                  <from>
                    <xdr:col>9</xdr:col>
                    <xdr:colOff>400050</xdr:colOff>
                    <xdr:row>22</xdr:row>
                    <xdr:rowOff>142875</xdr:rowOff>
                  </from>
                  <to>
                    <xdr:col>9</xdr:col>
                    <xdr:colOff>638175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5" name="Check Box 84">
              <controlPr defaultSize="0" autoFill="0" autoLine="0" autoPict="0">
                <anchor moveWithCells="1">
                  <from>
                    <xdr:col>9</xdr:col>
                    <xdr:colOff>400050</xdr:colOff>
                    <xdr:row>23</xdr:row>
                    <xdr:rowOff>142875</xdr:rowOff>
                  </from>
                  <to>
                    <xdr:col>9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6" name="Check Box 85">
              <controlPr defaultSize="0" autoFill="0" autoLine="0" autoPict="0">
                <anchor moveWithCells="1">
                  <from>
                    <xdr:col>9</xdr:col>
                    <xdr:colOff>400050</xdr:colOff>
                    <xdr:row>24</xdr:row>
                    <xdr:rowOff>142875</xdr:rowOff>
                  </from>
                  <to>
                    <xdr:col>9</xdr:col>
                    <xdr:colOff>638175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7" name="Check Box 86">
              <controlPr defaultSize="0" autoFill="0" autoLine="0" autoPict="0">
                <anchor moveWithCells="1">
                  <from>
                    <xdr:col>9</xdr:col>
                    <xdr:colOff>400050</xdr:colOff>
                    <xdr:row>25</xdr:row>
                    <xdr:rowOff>142875</xdr:rowOff>
                  </from>
                  <to>
                    <xdr:col>9</xdr:col>
                    <xdr:colOff>638175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8" name="Check Box 87">
              <controlPr defaultSize="0" autoFill="0" autoLine="0" autoPict="0">
                <anchor moveWithCells="1">
                  <from>
                    <xdr:col>9</xdr:col>
                    <xdr:colOff>400050</xdr:colOff>
                    <xdr:row>26</xdr:row>
                    <xdr:rowOff>142875</xdr:rowOff>
                  </from>
                  <to>
                    <xdr:col>9</xdr:col>
                    <xdr:colOff>638175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9" name="Check Box 88">
              <controlPr defaultSize="0" autoFill="0" autoLine="0" autoPict="0">
                <anchor moveWithCells="1">
                  <from>
                    <xdr:col>9</xdr:col>
                    <xdr:colOff>400050</xdr:colOff>
                    <xdr:row>27</xdr:row>
                    <xdr:rowOff>142875</xdr:rowOff>
                  </from>
                  <to>
                    <xdr:col>9</xdr:col>
                    <xdr:colOff>638175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0" name="Check Box 89">
              <controlPr defaultSize="0" autoFill="0" autoLine="0" autoPict="0">
                <anchor moveWithCells="1">
                  <from>
                    <xdr:col>9</xdr:col>
                    <xdr:colOff>400050</xdr:colOff>
                    <xdr:row>28</xdr:row>
                    <xdr:rowOff>142875</xdr:rowOff>
                  </from>
                  <to>
                    <xdr:col>9</xdr:col>
                    <xdr:colOff>638175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1" name="Check Box 90">
              <controlPr defaultSize="0" autoFill="0" autoLine="0" autoPict="0">
                <anchor moveWithCells="1">
                  <from>
                    <xdr:col>9</xdr:col>
                    <xdr:colOff>400050</xdr:colOff>
                    <xdr:row>29</xdr:row>
                    <xdr:rowOff>142875</xdr:rowOff>
                  </from>
                  <to>
                    <xdr:col>9</xdr:col>
                    <xdr:colOff>638175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2" name="Check Box 91">
              <controlPr defaultSize="0" autoFill="0" autoLine="0" autoPict="0">
                <anchor moveWithCells="1">
                  <from>
                    <xdr:col>9</xdr:col>
                    <xdr:colOff>400050</xdr:colOff>
                    <xdr:row>30</xdr:row>
                    <xdr:rowOff>142875</xdr:rowOff>
                  </from>
                  <to>
                    <xdr:col>9</xdr:col>
                    <xdr:colOff>638175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3" name="Check Box 92">
              <controlPr defaultSize="0" autoFill="0" autoLine="0" autoPict="0">
                <anchor moveWithCells="1">
                  <from>
                    <xdr:col>9</xdr:col>
                    <xdr:colOff>400050</xdr:colOff>
                    <xdr:row>31</xdr:row>
                    <xdr:rowOff>142875</xdr:rowOff>
                  </from>
                  <to>
                    <xdr:col>9</xdr:col>
                    <xdr:colOff>638175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4" name="Check Box 93">
              <controlPr defaultSize="0" autoFill="0" autoLine="0" autoPict="0">
                <anchor moveWithCells="1">
                  <from>
                    <xdr:col>9</xdr:col>
                    <xdr:colOff>400050</xdr:colOff>
                    <xdr:row>32</xdr:row>
                    <xdr:rowOff>142875</xdr:rowOff>
                  </from>
                  <to>
                    <xdr:col>9</xdr:col>
                    <xdr:colOff>638175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5" name="Check Box 94">
              <controlPr defaultSize="0" autoFill="0" autoLine="0" autoPict="0">
                <anchor moveWithCells="1">
                  <from>
                    <xdr:col>9</xdr:col>
                    <xdr:colOff>400050</xdr:colOff>
                    <xdr:row>33</xdr:row>
                    <xdr:rowOff>142875</xdr:rowOff>
                  </from>
                  <to>
                    <xdr:col>9</xdr:col>
                    <xdr:colOff>638175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6" name="Check Box 95">
              <controlPr defaultSize="0" autoFill="0" autoLine="0" autoPict="0">
                <anchor moveWithCells="1">
                  <from>
                    <xdr:col>9</xdr:col>
                    <xdr:colOff>400050</xdr:colOff>
                    <xdr:row>34</xdr:row>
                    <xdr:rowOff>142875</xdr:rowOff>
                  </from>
                  <to>
                    <xdr:col>9</xdr:col>
                    <xdr:colOff>638175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7" name="Check Box 96">
              <controlPr defaultSize="0" autoFill="0" autoLine="0" autoPict="0">
                <anchor moveWithCells="1">
                  <from>
                    <xdr:col>9</xdr:col>
                    <xdr:colOff>400050</xdr:colOff>
                    <xdr:row>35</xdr:row>
                    <xdr:rowOff>142875</xdr:rowOff>
                  </from>
                  <to>
                    <xdr:col>9</xdr:col>
                    <xdr:colOff>638175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8" name="Check Box 97">
              <controlPr defaultSize="0" autoFill="0" autoLine="0" autoPict="0">
                <anchor moveWithCells="1">
                  <from>
                    <xdr:col>9</xdr:col>
                    <xdr:colOff>400050</xdr:colOff>
                    <xdr:row>36</xdr:row>
                    <xdr:rowOff>142875</xdr:rowOff>
                  </from>
                  <to>
                    <xdr:col>9</xdr:col>
                    <xdr:colOff>638175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9" name="Check Box 98">
              <controlPr defaultSize="0" autoFill="0" autoLine="0" autoPict="0">
                <anchor moveWithCells="1">
                  <from>
                    <xdr:col>9</xdr:col>
                    <xdr:colOff>400050</xdr:colOff>
                    <xdr:row>37</xdr:row>
                    <xdr:rowOff>142875</xdr:rowOff>
                  </from>
                  <to>
                    <xdr:col>9</xdr:col>
                    <xdr:colOff>638175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0" name="Check Box 99">
              <controlPr defaultSize="0" autoFill="0" autoLine="0" autoPict="0">
                <anchor moveWithCells="1">
                  <from>
                    <xdr:col>9</xdr:col>
                    <xdr:colOff>400050</xdr:colOff>
                    <xdr:row>38</xdr:row>
                    <xdr:rowOff>142875</xdr:rowOff>
                  </from>
                  <to>
                    <xdr:col>9</xdr:col>
                    <xdr:colOff>638175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1" name="Check Box 100">
              <controlPr defaultSize="0" autoFill="0" autoLine="0" autoPict="0">
                <anchor moveWithCells="1">
                  <from>
                    <xdr:col>9</xdr:col>
                    <xdr:colOff>400050</xdr:colOff>
                    <xdr:row>39</xdr:row>
                    <xdr:rowOff>142875</xdr:rowOff>
                  </from>
                  <to>
                    <xdr:col>9</xdr:col>
                    <xdr:colOff>638175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2" name="Check Box 101">
              <controlPr defaultSize="0" autoFill="0" autoLine="0" autoPict="0">
                <anchor moveWithCells="1">
                  <from>
                    <xdr:col>9</xdr:col>
                    <xdr:colOff>400050</xdr:colOff>
                    <xdr:row>40</xdr:row>
                    <xdr:rowOff>142875</xdr:rowOff>
                  </from>
                  <to>
                    <xdr:col>9</xdr:col>
                    <xdr:colOff>638175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3" name="Check Box 102">
              <controlPr defaultSize="0" autoFill="0" autoLine="0" autoPict="0">
                <anchor moveWithCells="1">
                  <from>
                    <xdr:col>9</xdr:col>
                    <xdr:colOff>400050</xdr:colOff>
                    <xdr:row>41</xdr:row>
                    <xdr:rowOff>142875</xdr:rowOff>
                  </from>
                  <to>
                    <xdr:col>9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4" name="Check Box 103">
              <controlPr defaultSize="0" autoFill="0" autoLine="0" autoPict="0">
                <anchor moveWithCells="1">
                  <from>
                    <xdr:col>9</xdr:col>
                    <xdr:colOff>400050</xdr:colOff>
                    <xdr:row>42</xdr:row>
                    <xdr:rowOff>142875</xdr:rowOff>
                  </from>
                  <to>
                    <xdr:col>9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5" name="Check Box 104">
              <controlPr defaultSize="0" autoFill="0" autoLine="0" autoPict="0">
                <anchor moveWithCells="1">
                  <from>
                    <xdr:col>9</xdr:col>
                    <xdr:colOff>400050</xdr:colOff>
                    <xdr:row>43</xdr:row>
                    <xdr:rowOff>142875</xdr:rowOff>
                  </from>
                  <to>
                    <xdr:col>9</xdr:col>
                    <xdr:colOff>638175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6" name="Check Box 105">
              <controlPr defaultSize="0" autoFill="0" autoLine="0" autoPict="0">
                <anchor moveWithCells="1">
                  <from>
                    <xdr:col>9</xdr:col>
                    <xdr:colOff>400050</xdr:colOff>
                    <xdr:row>44</xdr:row>
                    <xdr:rowOff>142875</xdr:rowOff>
                  </from>
                  <to>
                    <xdr:col>9</xdr:col>
                    <xdr:colOff>638175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7" name="Check Box 106">
              <controlPr defaultSize="0" autoFill="0" autoLine="0" autoPict="0">
                <anchor moveWithCells="1">
                  <from>
                    <xdr:col>9</xdr:col>
                    <xdr:colOff>400050</xdr:colOff>
                    <xdr:row>45</xdr:row>
                    <xdr:rowOff>142875</xdr:rowOff>
                  </from>
                  <to>
                    <xdr:col>9</xdr:col>
                    <xdr:colOff>638175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8" name="Check Box 107">
              <controlPr defaultSize="0" autoFill="0" autoLine="0" autoPict="0">
                <anchor moveWithCells="1">
                  <from>
                    <xdr:col>9</xdr:col>
                    <xdr:colOff>400050</xdr:colOff>
                    <xdr:row>46</xdr:row>
                    <xdr:rowOff>142875</xdr:rowOff>
                  </from>
                  <to>
                    <xdr:col>9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9" name="Check Box 108">
              <controlPr defaultSize="0" autoFill="0" autoLine="0" autoPict="0">
                <anchor moveWithCells="1">
                  <from>
                    <xdr:col>9</xdr:col>
                    <xdr:colOff>400050</xdr:colOff>
                    <xdr:row>47</xdr:row>
                    <xdr:rowOff>142875</xdr:rowOff>
                  </from>
                  <to>
                    <xdr:col>9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0" name="Check Box 109">
              <controlPr defaultSize="0" autoFill="0" autoLine="0" autoPict="0">
                <anchor moveWithCells="1">
                  <from>
                    <xdr:col>9</xdr:col>
                    <xdr:colOff>400050</xdr:colOff>
                    <xdr:row>48</xdr:row>
                    <xdr:rowOff>142875</xdr:rowOff>
                  </from>
                  <to>
                    <xdr:col>9</xdr:col>
                    <xdr:colOff>638175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1" name="Check Box 110">
              <controlPr defaultSize="0" autoFill="0" autoLine="0" autoPict="0">
                <anchor moveWithCells="1">
                  <from>
                    <xdr:col>9</xdr:col>
                    <xdr:colOff>400050</xdr:colOff>
                    <xdr:row>49</xdr:row>
                    <xdr:rowOff>142875</xdr:rowOff>
                  </from>
                  <to>
                    <xdr:col>9</xdr:col>
                    <xdr:colOff>638175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2" name="Check Box 111">
              <controlPr defaultSize="0" autoFill="0" autoLine="0" autoPict="0">
                <anchor moveWithCells="1">
                  <from>
                    <xdr:col>9</xdr:col>
                    <xdr:colOff>400050</xdr:colOff>
                    <xdr:row>49</xdr:row>
                    <xdr:rowOff>142875</xdr:rowOff>
                  </from>
                  <to>
                    <xdr:col>9</xdr:col>
                    <xdr:colOff>638175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3" name="Check Box 112">
              <controlPr defaultSize="0" autoFill="0" autoLine="0" autoPict="0">
                <anchor moveWithCells="1">
                  <from>
                    <xdr:col>9</xdr:col>
                    <xdr:colOff>400050</xdr:colOff>
                    <xdr:row>50</xdr:row>
                    <xdr:rowOff>142875</xdr:rowOff>
                  </from>
                  <to>
                    <xdr:col>9</xdr:col>
                    <xdr:colOff>638175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4" name="Check Box 113">
              <controlPr defaultSize="0" autoFill="0" autoLine="0" autoPict="0">
                <anchor moveWithCells="1">
                  <from>
                    <xdr:col>9</xdr:col>
                    <xdr:colOff>400050</xdr:colOff>
                    <xdr:row>51</xdr:row>
                    <xdr:rowOff>142875</xdr:rowOff>
                  </from>
                  <to>
                    <xdr:col>9</xdr:col>
                    <xdr:colOff>638175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5" name="Check Box 114">
              <controlPr defaultSize="0" autoFill="0" autoLine="0" autoPict="0">
                <anchor moveWithCells="1">
                  <from>
                    <xdr:col>7</xdr:col>
                    <xdr:colOff>209550</xdr:colOff>
                    <xdr:row>5</xdr:row>
                    <xdr:rowOff>142875</xdr:rowOff>
                  </from>
                  <to>
                    <xdr:col>7</xdr:col>
                    <xdr:colOff>447675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6" name="Check Box 115">
              <controlPr defaultSize="0" autoFill="0" autoLine="0" autoPict="0">
                <anchor moveWithCells="1">
                  <from>
                    <xdr:col>7</xdr:col>
                    <xdr:colOff>209550</xdr:colOff>
                    <xdr:row>6</xdr:row>
                    <xdr:rowOff>142875</xdr:rowOff>
                  </from>
                  <to>
                    <xdr:col>7</xdr:col>
                    <xdr:colOff>447675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7" name="Check Box 116">
              <controlPr defaultSize="0" autoFill="0" autoLine="0" autoPict="0">
                <anchor moveWithCells="1">
                  <from>
                    <xdr:col>7</xdr:col>
                    <xdr:colOff>209550</xdr:colOff>
                    <xdr:row>7</xdr:row>
                    <xdr:rowOff>142875</xdr:rowOff>
                  </from>
                  <to>
                    <xdr:col>7</xdr:col>
                    <xdr:colOff>447675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8" name="Check Box 117">
              <controlPr defaultSize="0" autoFill="0" autoLine="0" autoPict="0">
                <anchor moveWithCells="1">
                  <from>
                    <xdr:col>7</xdr:col>
                    <xdr:colOff>209550</xdr:colOff>
                    <xdr:row>8</xdr:row>
                    <xdr:rowOff>142875</xdr:rowOff>
                  </from>
                  <to>
                    <xdr:col>7</xdr:col>
                    <xdr:colOff>447675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bf32a603a032cbd317dd9e538b2fe121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8daefc751e53f51321295a738573c2af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69682D-86CB-4710-B807-07C950A1B8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1C22E-3F13-42A9-8D11-0AB645EC94F3}">
  <ds:schemaRefs>
    <ds:schemaRef ds:uri="http://schemas.microsoft.com/office/2006/metadata/properties"/>
    <ds:schemaRef ds:uri="http://schemas.microsoft.com/office/infopath/2007/PartnerControls"/>
    <ds:schemaRef ds:uri="9381e6e6-d508-431a-ab4d-edd4baf17893"/>
  </ds:schemaRefs>
</ds:datastoreItem>
</file>

<file path=customXml/itemProps3.xml><?xml version="1.0" encoding="utf-8"?>
<ds:datastoreItem xmlns:ds="http://schemas.openxmlformats.org/officeDocument/2006/customXml" ds:itemID="{F57C8499-640A-4B43-AA15-22711D05F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Mass and Volume Calculations</vt:lpstr>
      <vt:lpstr>Strength Properties (INSTRON)</vt:lpstr>
      <vt:lpstr>Combined Mass &amp; Strength Data</vt:lpstr>
      <vt:lpstr>Porosity Percentages (SCAN IP)</vt:lpstr>
      <vt:lpstr>Test Day Observations</vt:lpstr>
    </vt:vector>
  </TitlesOfParts>
  <Manager/>
  <Company>University of Leeds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Barratt [mn20hb]</dc:creator>
  <cp:keywords/>
  <dc:description/>
  <cp:lastModifiedBy>Gavin Day</cp:lastModifiedBy>
  <cp:revision/>
  <dcterms:created xsi:type="dcterms:W3CDTF">2024-07-08T08:42:22Z</dcterms:created>
  <dcterms:modified xsi:type="dcterms:W3CDTF">2025-08-22T14:27:11Z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