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C:\Users\pretnh\Desktop\"/>
    </mc:Choice>
  </mc:AlternateContent>
  <xr:revisionPtr revIDLastSave="0" documentId="8_{87565225-E90A-4A13-96D9-7E31A79BD338}" xr6:coauthVersionLast="47" xr6:coauthVersionMax="47" xr10:uidLastSave="{00000000-0000-0000-0000-000000000000}"/>
  <bookViews>
    <workbookView xWindow="28680" yWindow="-120" windowWidth="29040" windowHeight="15840" xr2:uid="{2F89B822-D1C2-4B48-A2B1-695B6BB447DE}"/>
  </bookViews>
  <sheets>
    <sheet name="Cu dubninRadushkevich isotherm" sheetId="1" r:id="rId1"/>
    <sheet name="Lead Dubinin R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1" i="2" l="1"/>
  <c r="G21" i="1"/>
  <c r="G23" i="1" l="1"/>
  <c r="Q13" i="2"/>
  <c r="Q14" i="2"/>
  <c r="Q15" i="2"/>
  <c r="Q16" i="2"/>
  <c r="Q17" i="2"/>
  <c r="Q18" i="2"/>
  <c r="Q12" i="2"/>
  <c r="F33" i="2"/>
  <c r="G23" i="2"/>
  <c r="F21" i="1"/>
  <c r="F21" i="2"/>
  <c r="H21" i="2" s="1"/>
  <c r="I21" i="2" s="1"/>
  <c r="E13" i="2"/>
  <c r="E12" i="2"/>
  <c r="E18" i="2"/>
  <c r="D18" i="2"/>
  <c r="F18" i="2" s="1"/>
  <c r="K18" i="2" s="1"/>
  <c r="L18" i="2" s="1"/>
  <c r="M18" i="2" s="1"/>
  <c r="N18" i="2" s="1"/>
  <c r="O18" i="2" s="1"/>
  <c r="E17" i="2"/>
  <c r="D17" i="2"/>
  <c r="F17" i="2" s="1"/>
  <c r="K17" i="2" s="1"/>
  <c r="L17" i="2" s="1"/>
  <c r="M17" i="2" s="1"/>
  <c r="N17" i="2" s="1"/>
  <c r="O17" i="2" s="1"/>
  <c r="F16" i="2"/>
  <c r="E16" i="2"/>
  <c r="D16" i="2"/>
  <c r="E15" i="2"/>
  <c r="D15" i="2"/>
  <c r="F15" i="2" s="1"/>
  <c r="K15" i="2" s="1"/>
  <c r="L15" i="2" s="1"/>
  <c r="M15" i="2" s="1"/>
  <c r="N15" i="2" s="1"/>
  <c r="O15" i="2" s="1"/>
  <c r="E14" i="2"/>
  <c r="D14" i="2"/>
  <c r="F14" i="2" s="1"/>
  <c r="K14" i="2" s="1"/>
  <c r="L14" i="2" s="1"/>
  <c r="M14" i="2" s="1"/>
  <c r="N14" i="2" s="1"/>
  <c r="O14" i="2" s="1"/>
  <c r="D13" i="2"/>
  <c r="F13" i="2" s="1"/>
  <c r="K13" i="2" s="1"/>
  <c r="L13" i="2" s="1"/>
  <c r="M13" i="2" s="1"/>
  <c r="N13" i="2" s="1"/>
  <c r="O13" i="2" s="1"/>
  <c r="J12" i="2"/>
  <c r="D12" i="2"/>
  <c r="F12" i="2" s="1"/>
  <c r="I21" i="1"/>
  <c r="H21" i="1"/>
  <c r="J12" i="1"/>
  <c r="G16" i="1"/>
  <c r="H16" i="1" s="1"/>
  <c r="F18" i="1"/>
  <c r="K18" i="1" s="1"/>
  <c r="L18" i="1" s="1"/>
  <c r="M18" i="1" s="1"/>
  <c r="N18" i="1" s="1"/>
  <c r="O18" i="1" s="1"/>
  <c r="F17" i="1"/>
  <c r="K17" i="1" s="1"/>
  <c r="L17" i="1" s="1"/>
  <c r="M17" i="1" s="1"/>
  <c r="N17" i="1" s="1"/>
  <c r="O17" i="1" s="1"/>
  <c r="F16" i="1"/>
  <c r="K16" i="1" s="1"/>
  <c r="L16" i="1" s="1"/>
  <c r="M16" i="1" s="1"/>
  <c r="N16" i="1" s="1"/>
  <c r="O16" i="1" s="1"/>
  <c r="F15" i="1"/>
  <c r="K15" i="1" s="1"/>
  <c r="L15" i="1" s="1"/>
  <c r="M15" i="1" s="1"/>
  <c r="N15" i="1" s="1"/>
  <c r="O15" i="1" s="1"/>
  <c r="F14" i="1"/>
  <c r="K14" i="1" s="1"/>
  <c r="L14" i="1" s="1"/>
  <c r="M14" i="1" s="1"/>
  <c r="N14" i="1" s="1"/>
  <c r="O14" i="1" s="1"/>
  <c r="F13" i="1"/>
  <c r="K13" i="1" s="1"/>
  <c r="L13" i="1" s="1"/>
  <c r="M13" i="1" s="1"/>
  <c r="N13" i="1" s="1"/>
  <c r="O13" i="1" s="1"/>
  <c r="F12" i="1"/>
  <c r="K12" i="1" s="1"/>
  <c r="L12" i="1" s="1"/>
  <c r="M12" i="1" s="1"/>
  <c r="N12" i="1" s="1"/>
  <c r="O12" i="1" s="1"/>
  <c r="E18" i="1"/>
  <c r="G18" i="1" s="1"/>
  <c r="H18" i="1" s="1"/>
  <c r="E17" i="1"/>
  <c r="G17" i="1" s="1"/>
  <c r="H17" i="1" s="1"/>
  <c r="E16" i="1"/>
  <c r="E15" i="1"/>
  <c r="G15" i="1" s="1"/>
  <c r="H15" i="1" s="1"/>
  <c r="E14" i="1"/>
  <c r="G14" i="1" s="1"/>
  <c r="H14" i="1" s="1"/>
  <c r="E13" i="1"/>
  <c r="G13" i="1" s="1"/>
  <c r="H13" i="1" s="1"/>
  <c r="E12" i="1"/>
  <c r="G12" i="1" s="1"/>
  <c r="H12" i="1" s="1"/>
  <c r="D13" i="1"/>
  <c r="D14" i="1"/>
  <c r="D15" i="1"/>
  <c r="D16" i="1"/>
  <c r="D17" i="1"/>
  <c r="D18" i="1"/>
  <c r="D12" i="1"/>
  <c r="G16" i="2" l="1"/>
  <c r="H16" i="2" s="1"/>
  <c r="G18" i="2"/>
  <c r="H18" i="2" s="1"/>
  <c r="G17" i="2"/>
  <c r="H17" i="2" s="1"/>
  <c r="G15" i="2"/>
  <c r="H15" i="2" s="1"/>
  <c r="K12" i="2"/>
  <c r="L12" i="2" s="1"/>
  <c r="G12" i="2"/>
  <c r="H12" i="2" s="1"/>
  <c r="G13" i="2"/>
  <c r="H13" i="2" s="1"/>
  <c r="K16" i="2"/>
  <c r="L16" i="2" s="1"/>
  <c r="M16" i="2" s="1"/>
  <c r="N16" i="2" s="1"/>
  <c r="O16" i="2" s="1"/>
  <c r="G14" i="2"/>
  <c r="H14" i="2" s="1"/>
  <c r="O12" i="2" l="1"/>
  <c r="M12" i="2"/>
  <c r="N12" i="2" s="1"/>
</calcChain>
</file>

<file path=xl/sharedStrings.xml><?xml version="1.0" encoding="utf-8"?>
<sst xmlns="http://schemas.openxmlformats.org/spreadsheetml/2006/main" count="109" uniqueCount="67">
  <si>
    <t xml:space="preserve"> Qe= </t>
  </si>
  <si>
    <t>Temp</t>
  </si>
  <si>
    <t>mass</t>
  </si>
  <si>
    <t>volume (L)</t>
  </si>
  <si>
    <t>Concentration</t>
  </si>
  <si>
    <t>ppm</t>
  </si>
  <si>
    <t>Natural clino</t>
  </si>
  <si>
    <t xml:space="preserve">Molecular weight of copperchloride </t>
  </si>
  <si>
    <t>CE(mg/l)</t>
  </si>
  <si>
    <t>Ce(mol/L)</t>
  </si>
  <si>
    <t>Co(mol/L)</t>
  </si>
  <si>
    <t>g/mol</t>
  </si>
  <si>
    <t>g</t>
  </si>
  <si>
    <t>L</t>
  </si>
  <si>
    <t>qe(mol/g)</t>
  </si>
  <si>
    <t>lnqe</t>
  </si>
  <si>
    <t>R((J/mol.K</t>
  </si>
  <si>
    <t>temp (k)</t>
  </si>
  <si>
    <t>1/Ce</t>
  </si>
  <si>
    <t>1+1/Ce</t>
  </si>
  <si>
    <t>Ln(11/Ce)</t>
  </si>
  <si>
    <r>
      <rPr>
        <sz val="11"/>
        <color theme="1"/>
        <rFont val="Symbol"/>
        <family val="1"/>
        <charset val="2"/>
      </rPr>
      <t>e=</t>
    </r>
    <r>
      <rPr>
        <sz val="11"/>
        <color theme="1"/>
        <rFont val="Aptos Narrow"/>
        <family val="2"/>
      </rPr>
      <t>RTLN(1+1/Ce)</t>
    </r>
  </si>
  <si>
    <t xml:space="preserve"> AVE mg/l)</t>
  </si>
  <si>
    <t>e2</t>
  </si>
  <si>
    <t xml:space="preserve">Intercept </t>
  </si>
  <si>
    <t xml:space="preserve">slope </t>
  </si>
  <si>
    <t>2k</t>
  </si>
  <si>
    <t>e</t>
  </si>
  <si>
    <t xml:space="preserve"> Copper</t>
  </si>
  <si>
    <t>-8.77183 ± 0.16995</t>
  </si>
  <si>
    <t>-4.46254E-9 ± 2.33276E-10</t>
  </si>
  <si>
    <t>Energy (J/mol)</t>
  </si>
  <si>
    <t>Ln(1+1/Ce)</t>
  </si>
  <si>
    <t xml:space="preserve">Molecular weight of leadnitrate </t>
  </si>
  <si>
    <t>Lead</t>
  </si>
  <si>
    <r>
      <rPr>
        <sz val="11"/>
        <color theme="1"/>
        <rFont val="Aptos Narrow"/>
        <family val="2"/>
      </rPr>
      <t>β</t>
    </r>
    <r>
      <rPr>
        <sz val="11"/>
        <color theme="1"/>
        <rFont val="Aptos Narrow"/>
        <family val="2"/>
        <scheme val="minor"/>
      </rPr>
      <t>K(mol2/K</t>
    </r>
  </si>
  <si>
    <t>R2</t>
  </si>
  <si>
    <t>Copper</t>
  </si>
  <si>
    <t>Cu2+</t>
  </si>
  <si>
    <t>Pb2+</t>
  </si>
  <si>
    <t>Equation</t>
  </si>
  <si>
    <t>y = a + b*x</t>
  </si>
  <si>
    <t>Plot</t>
  </si>
  <si>
    <t>Weight</t>
  </si>
  <si>
    <t>No Weighting</t>
  </si>
  <si>
    <t>Intercept</t>
  </si>
  <si>
    <t>-7.593 ± 0.35311</t>
  </si>
  <si>
    <t>Slope</t>
  </si>
  <si>
    <t>-7.4849E-9 ± 7.17456E-10</t>
  </si>
  <si>
    <t>Residual Sum of Squares</t>
  </si>
  <si>
    <t>Pearson's r</t>
  </si>
  <si>
    <t>R-Square (COD)</t>
  </si>
  <si>
    <t>Adj. R-Square</t>
  </si>
  <si>
    <t xml:space="preserve">lnqe </t>
  </si>
  <si>
    <t>(D–R) isotherm lnqe = lnqm − βε2 ε = RTln( 1 + 1 Ce ) E = 1 (2β) 0.5 β : the activity coefficient Ɛ : the Polanyi potential E : Sorption energ</t>
  </si>
  <si>
    <t>β : the activity coefficient</t>
  </si>
  <si>
    <t>Ɛ : the Polanyi potential</t>
  </si>
  <si>
    <t>E : Sorption energ</t>
  </si>
  <si>
    <t>qmax</t>
  </si>
  <si>
    <t>mg/g</t>
  </si>
  <si>
    <t xml:space="preserve"> AVE (mg/l)</t>
  </si>
  <si>
    <t>Ce(mg/l)</t>
  </si>
  <si>
    <t>R((J/mol.K)</t>
  </si>
  <si>
    <t>lnqe(Y-axis)</t>
  </si>
  <si>
    <t>Plot lnqe(Y axis) v epsilon squared (x-axis)</t>
  </si>
  <si>
    <t>Energy</t>
  </si>
  <si>
    <t>qm (mmol/g)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</si>
</sst>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sz val="10"/>
      <color theme="1"/>
      <name val="Arial"/>
      <family val="2"/>
    </font>
    <font>
      <sz val="11"/>
      <color theme="1"/>
      <name val="Symbol"/>
      <family val="1"/>
      <charset val="2"/>
    </font>
    <font>
      <sz val="11"/>
      <color theme="1"/>
      <name val="Aptos Narrow"/>
      <family val="2"/>
    </font>
    <font>
      <sz val="11"/>
      <color theme="1"/>
      <name val="Aptos Narrow"/>
      <family val="1"/>
      <charset val="2"/>
    </font>
    <font>
      <sz val="9"/>
      <color rgb="FF000000"/>
      <name val="Arial"/>
      <family val="2"/>
    </font>
    <font>
      <sz val="11"/>
      <color rgb="FFFF000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3">
    <xf numFmtId="0" fontId="0" fillId="0" borderId="0" xfId="0"/>
    <xf numFmtId="0" fontId="1" fillId="0" borderId="0" xfId="1"/>
    <xf numFmtId="0" fontId="2" fillId="0" borderId="0" xfId="0" applyFont="1"/>
    <xf numFmtId="0" fontId="4" fillId="0" borderId="0" xfId="0" applyFont="1"/>
    <xf numFmtId="0" fontId="1" fillId="0" borderId="0" xfId="2"/>
    <xf numFmtId="11" fontId="0" fillId="0" borderId="0" xfId="0" applyNumberFormat="1"/>
    <xf numFmtId="0" fontId="5" fillId="2" borderId="1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center" vertical="top" wrapText="1"/>
    </xf>
    <xf numFmtId="0" fontId="5" fillId="2" borderId="3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center" vertical="top" wrapText="1"/>
    </xf>
    <xf numFmtId="0" fontId="6" fillId="0" borderId="0" xfId="0" applyFont="1"/>
    <xf numFmtId="0" fontId="5" fillId="2" borderId="5" xfId="0" applyFont="1" applyFill="1" applyBorder="1" applyAlignment="1">
      <alignment horizontal="left" vertical="top" wrapText="1"/>
    </xf>
    <xf numFmtId="0" fontId="5" fillId="2" borderId="2" xfId="0" applyFont="1" applyFill="1" applyBorder="1" applyAlignment="1">
      <alignment horizontal="left" vertical="top" wrapText="1"/>
    </xf>
  </cellXfs>
  <cellStyles count="3">
    <cellStyle name="Normal" xfId="0" builtinId="0"/>
    <cellStyle name="Normal 2" xfId="2" xr:uid="{FD9131FE-2C60-4181-A1DC-B76174954AD5}"/>
    <cellStyle name="Normal 3" xfId="1" xr:uid="{C2D1541F-01A9-44FE-907A-2684D5CD6BA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'Lead Dubinin R'!$Q$11</c:f>
              <c:strCache>
                <c:ptCount val="1"/>
                <c:pt idx="0">
                  <c:v>lnqe(Y-axis)</c:v>
                </c:pt>
              </c:strCache>
            </c:strRef>
          </c:tx>
          <c:spPr>
            <a:ln w="381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0.19968241469816272"/>
                  <c:y val="-3.8462379702537183E-3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'Lead Dubinin R'!$O$12:$O$18</c:f>
              <c:numCache>
                <c:formatCode>General</c:formatCode>
                <c:ptCount val="7"/>
                <c:pt idx="0">
                  <c:v>1214692735.1360734</c:v>
                </c:pt>
                <c:pt idx="1">
                  <c:v>943346825.03762448</c:v>
                </c:pt>
                <c:pt idx="2">
                  <c:v>671344865.91685987</c:v>
                </c:pt>
                <c:pt idx="3">
                  <c:v>563677752.68345749</c:v>
                </c:pt>
                <c:pt idx="4">
                  <c:v>299454578.60403097</c:v>
                </c:pt>
                <c:pt idx="5">
                  <c:v>239904048.87726903</c:v>
                </c:pt>
                <c:pt idx="6">
                  <c:v>208778984.98752743</c:v>
                </c:pt>
              </c:numCache>
            </c:numRef>
          </c:xVal>
          <c:yVal>
            <c:numRef>
              <c:f>'Lead Dubinin R'!$Q$12:$Q$18</c:f>
              <c:numCache>
                <c:formatCode>General</c:formatCode>
                <c:ptCount val="7"/>
                <c:pt idx="0">
                  <c:v>-13.879564615829219</c:v>
                </c:pt>
                <c:pt idx="1">
                  <c:v>-13.244652246020449</c:v>
                </c:pt>
                <c:pt idx="2">
                  <c:v>-11.675680441603264</c:v>
                </c:pt>
                <c:pt idx="3">
                  <c:v>-11.012463294538392</c:v>
                </c:pt>
                <c:pt idx="4">
                  <c:v>-9.7710446356320073</c:v>
                </c:pt>
                <c:pt idx="5">
                  <c:v>-9.5459219584559882</c:v>
                </c:pt>
                <c:pt idx="6">
                  <c:v>-9.6251676545756126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1E5-4012-8A81-5711C7ED7A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8516744"/>
        <c:axId val="458517104"/>
      </c:scatterChart>
      <c:valAx>
        <c:axId val="45851674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58517104"/>
        <c:crosses val="autoZero"/>
        <c:crossBetween val="midCat"/>
      </c:valAx>
      <c:valAx>
        <c:axId val="4585171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58516744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92075</xdr:colOff>
      <xdr:row>25</xdr:row>
      <xdr:rowOff>173037</xdr:rowOff>
    </xdr:from>
    <xdr:to>
      <xdr:col>14</xdr:col>
      <xdr:colOff>44450</xdr:colOff>
      <xdr:row>41</xdr:row>
      <xdr:rowOff>20637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F7F80365-266E-9F10-2E61-05C382951B7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85485C-C79A-4997-A3A3-5336FE60DD66}">
  <dimension ref="A1:Q30"/>
  <sheetViews>
    <sheetView tabSelected="1" workbookViewId="0">
      <selection activeCell="K33" sqref="K33"/>
    </sheetView>
  </sheetViews>
  <sheetFormatPr defaultRowHeight="14.5" x14ac:dyDescent="0.35"/>
  <cols>
    <col min="1" max="1" width="31.36328125" customWidth="1"/>
    <col min="2" max="2" width="12.36328125" customWidth="1"/>
    <col min="4" max="4" width="9.81640625" customWidth="1"/>
    <col min="5" max="7" width="11.81640625" bestFit="1" customWidth="1"/>
    <col min="9" max="9" width="13.453125" customWidth="1"/>
    <col min="14" max="14" width="16.26953125" customWidth="1"/>
    <col min="15" max="15" width="11.81640625" bestFit="1" customWidth="1"/>
  </cols>
  <sheetData>
    <row r="1" spans="1:17" x14ac:dyDescent="0.35">
      <c r="A1" t="s">
        <v>0</v>
      </c>
    </row>
    <row r="3" spans="1:17" x14ac:dyDescent="0.35">
      <c r="A3" t="s">
        <v>1</v>
      </c>
      <c r="B3">
        <v>22</v>
      </c>
      <c r="Q3" s="2" t="s">
        <v>27</v>
      </c>
    </row>
    <row r="4" spans="1:17" x14ac:dyDescent="0.35">
      <c r="A4" t="s">
        <v>7</v>
      </c>
      <c r="B4">
        <v>63.545999999999999</v>
      </c>
      <c r="C4" t="s">
        <v>11</v>
      </c>
    </row>
    <row r="5" spans="1:17" x14ac:dyDescent="0.35">
      <c r="A5" t="s">
        <v>2</v>
      </c>
      <c r="B5">
        <v>0.435</v>
      </c>
      <c r="C5" t="s">
        <v>12</v>
      </c>
    </row>
    <row r="6" spans="1:17" x14ac:dyDescent="0.35">
      <c r="A6" t="s">
        <v>3</v>
      </c>
      <c r="B6">
        <v>0.02</v>
      </c>
      <c r="C6" t="s">
        <v>13</v>
      </c>
    </row>
    <row r="7" spans="1:17" x14ac:dyDescent="0.35">
      <c r="B7" t="s">
        <v>28</v>
      </c>
    </row>
    <row r="9" spans="1:17" x14ac:dyDescent="0.35">
      <c r="A9" s="1" t="s">
        <v>6</v>
      </c>
    </row>
    <row r="10" spans="1:17" x14ac:dyDescent="0.35">
      <c r="A10" s="1" t="s">
        <v>4</v>
      </c>
    </row>
    <row r="11" spans="1:17" x14ac:dyDescent="0.35">
      <c r="A11" s="1" t="s">
        <v>5</v>
      </c>
      <c r="B11" t="s">
        <v>61</v>
      </c>
      <c r="D11" t="s">
        <v>60</v>
      </c>
      <c r="E11" t="s">
        <v>10</v>
      </c>
      <c r="F11" t="s">
        <v>9</v>
      </c>
      <c r="G11" t="s">
        <v>14</v>
      </c>
      <c r="H11" t="s">
        <v>15</v>
      </c>
      <c r="I11" t="s">
        <v>62</v>
      </c>
      <c r="J11" t="s">
        <v>17</v>
      </c>
      <c r="K11" t="s">
        <v>18</v>
      </c>
      <c r="L11" t="s">
        <v>19</v>
      </c>
      <c r="M11" t="s">
        <v>20</v>
      </c>
      <c r="N11" s="3" t="s">
        <v>21</v>
      </c>
      <c r="O11" s="2" t="s">
        <v>23</v>
      </c>
    </row>
    <row r="12" spans="1:17" x14ac:dyDescent="0.35">
      <c r="A12" s="1">
        <v>5</v>
      </c>
      <c r="B12" s="4">
        <v>2.0609999999999999</v>
      </c>
      <c r="C12" s="4">
        <v>2.1080000000000001</v>
      </c>
      <c r="D12">
        <f>AVERAGE(B12:C12 )</f>
        <v>2.0845000000000002</v>
      </c>
      <c r="E12">
        <f>(A12/1000)/B4</f>
        <v>7.8683158656721121E-5</v>
      </c>
      <c r="F12">
        <f>(D12/1000)/B4</f>
        <v>3.2803008843987036E-5</v>
      </c>
      <c r="G12">
        <f>(E12-F12)*$B$6/$B$5</f>
        <v>2.1094321752981188E-6</v>
      </c>
      <c r="H12">
        <f>LN(G12)</f>
        <v>-13.069091757926344</v>
      </c>
      <c r="I12">
        <v>8.3140000000000001</v>
      </c>
      <c r="J12">
        <f>B3+273.15</f>
        <v>295.14999999999998</v>
      </c>
      <c r="K12">
        <f>1/F12</f>
        <v>30485.008395298628</v>
      </c>
      <c r="L12">
        <f>1+K12</f>
        <v>30486.008395298628</v>
      </c>
      <c r="M12">
        <f>LN(L12)</f>
        <v>10.325023116203846</v>
      </c>
      <c r="N12">
        <f>I12*J12*M12</f>
        <v>25336.337781823255</v>
      </c>
      <c r="O12">
        <f>(N12)^2</f>
        <v>641930012.19464457</v>
      </c>
    </row>
    <row r="13" spans="1:17" x14ac:dyDescent="0.35">
      <c r="A13" s="1">
        <v>10</v>
      </c>
      <c r="B13" s="4">
        <v>2.2040000000000002</v>
      </c>
      <c r="C13" s="4">
        <v>2.0779999999999998</v>
      </c>
      <c r="D13">
        <f t="shared" ref="D13:D18" si="0">AVERAGE(B13:C13 )</f>
        <v>2.141</v>
      </c>
      <c r="E13">
        <f>(A13/1000)/B4</f>
        <v>1.5736631731344224E-4</v>
      </c>
      <c r="F13">
        <f>(D13/1000)/B4</f>
        <v>3.3692128536807983E-5</v>
      </c>
      <c r="G13">
        <f>(E13-F13)*$B$6/$B$5</f>
        <v>5.6861695989257129E-6</v>
      </c>
      <c r="H13">
        <f t="shared" ref="H13:H18" si="1">LN(G13)</f>
        <v>-12.077473717722379</v>
      </c>
      <c r="I13">
        <v>8.3140000000000001</v>
      </c>
      <c r="J13">
        <v>295.14999999999998</v>
      </c>
      <c r="K13">
        <f t="shared" ref="K13:K17" si="2">1/F13</f>
        <v>29680.523120037364</v>
      </c>
      <c r="L13">
        <f t="shared" ref="L13:L18" si="3">1+K13</f>
        <v>29681.523120037364</v>
      </c>
      <c r="M13">
        <f t="shared" ref="M13:M18" si="4">LN(L13)</f>
        <v>10.298280014025147</v>
      </c>
      <c r="N13">
        <f t="shared" ref="N13:N18" si="5">I13*J13*M13</f>
        <v>25270.713495803986</v>
      </c>
      <c r="O13">
        <f t="shared" ref="O13:O18" si="6">(N13)^2</f>
        <v>638608960.58700967</v>
      </c>
    </row>
    <row r="14" spans="1:17" x14ac:dyDescent="0.35">
      <c r="A14" s="1">
        <v>50</v>
      </c>
      <c r="B14" s="4">
        <v>10.186999999999999</v>
      </c>
      <c r="C14" s="4">
        <v>10.167</v>
      </c>
      <c r="D14">
        <f t="shared" si="0"/>
        <v>10.177</v>
      </c>
      <c r="E14">
        <f>(A14/1000)/B4</f>
        <v>7.8683158656721124E-4</v>
      </c>
      <c r="F14">
        <f>(D14/1000)/B4</f>
        <v>1.6015170112989015E-4</v>
      </c>
      <c r="G14">
        <f t="shared" ref="G14:G18" si="7">(E14-F14)*$B$6/$B$5</f>
        <v>2.8812868295968788E-5</v>
      </c>
      <c r="H14">
        <f t="shared" si="1"/>
        <v>-10.454688454782593</v>
      </c>
      <c r="I14">
        <v>8.3140000000000001</v>
      </c>
      <c r="J14">
        <v>295.14999999999998</v>
      </c>
      <c r="K14">
        <f t="shared" si="2"/>
        <v>6244.0797877567065</v>
      </c>
      <c r="L14">
        <f t="shared" si="3"/>
        <v>6245.0797877567065</v>
      </c>
      <c r="M14">
        <f t="shared" si="4"/>
        <v>8.7395491987401446</v>
      </c>
      <c r="N14">
        <f t="shared" si="5"/>
        <v>21445.779643111786</v>
      </c>
      <c r="O14">
        <f t="shared" si="6"/>
        <v>459921464.5009079</v>
      </c>
    </row>
    <row r="15" spans="1:17" x14ac:dyDescent="0.35">
      <c r="A15" s="1">
        <v>100</v>
      </c>
      <c r="B15" s="4">
        <v>25.138000000000002</v>
      </c>
      <c r="C15" s="4">
        <v>25.548999999999999</v>
      </c>
      <c r="D15">
        <f t="shared" si="0"/>
        <v>25.343499999999999</v>
      </c>
      <c r="E15">
        <f>(A15/1000)/B4</f>
        <v>1.5736631731344225E-3</v>
      </c>
      <c r="F15">
        <f>(D15/1000)/B4</f>
        <v>3.988213262833223E-4</v>
      </c>
      <c r="G15">
        <f t="shared" si="7"/>
        <v>5.4015717096602304E-5</v>
      </c>
      <c r="H15">
        <f t="shared" si="1"/>
        <v>-9.8262354964044842</v>
      </c>
      <c r="I15">
        <v>8.3140000000000001</v>
      </c>
      <c r="J15">
        <v>295.14999999999998</v>
      </c>
      <c r="K15">
        <f t="shared" si="2"/>
        <v>2507.3884822538325</v>
      </c>
      <c r="L15">
        <f t="shared" si="3"/>
        <v>2508.3884822538325</v>
      </c>
      <c r="M15">
        <f t="shared" si="4"/>
        <v>7.8273957869878696</v>
      </c>
      <c r="N15">
        <f t="shared" si="5"/>
        <v>19207.467274326009</v>
      </c>
      <c r="O15">
        <f t="shared" si="6"/>
        <v>368926799.09430462</v>
      </c>
    </row>
    <row r="16" spans="1:17" x14ac:dyDescent="0.35">
      <c r="A16" s="1">
        <v>500</v>
      </c>
      <c r="B16" s="4">
        <v>282.31299999999999</v>
      </c>
      <c r="C16" s="4">
        <v>280.21199999999999</v>
      </c>
      <c r="D16">
        <f t="shared" si="0"/>
        <v>281.26249999999999</v>
      </c>
      <c r="E16">
        <f>(A16/1000)/B4</f>
        <v>7.8683158656721111E-3</v>
      </c>
      <c r="F16">
        <f>(D16/1000)/B4</f>
        <v>4.4261243823372045E-3</v>
      </c>
      <c r="G16">
        <f t="shared" si="7"/>
        <v>1.5826167739470837E-4</v>
      </c>
      <c r="H16">
        <f t="shared" si="1"/>
        <v>-8.7512607088585508</v>
      </c>
      <c r="I16">
        <v>8.3140000000000001</v>
      </c>
      <c r="J16">
        <v>295.14999999999998</v>
      </c>
      <c r="K16">
        <f t="shared" si="2"/>
        <v>225.93129194258034</v>
      </c>
      <c r="L16">
        <f t="shared" si="3"/>
        <v>226.93129194258034</v>
      </c>
      <c r="M16">
        <f t="shared" si="4"/>
        <v>5.424647292997923</v>
      </c>
      <c r="N16">
        <f t="shared" si="5"/>
        <v>13311.417767864592</v>
      </c>
      <c r="O16">
        <f t="shared" si="6"/>
        <v>177193842.99062115</v>
      </c>
    </row>
    <row r="17" spans="1:15" x14ac:dyDescent="0.35">
      <c r="A17" s="1">
        <v>800</v>
      </c>
      <c r="B17" s="4">
        <v>457.041</v>
      </c>
      <c r="C17" s="4">
        <v>450.97199999999998</v>
      </c>
      <c r="D17">
        <f t="shared" si="0"/>
        <v>454.00649999999996</v>
      </c>
      <c r="E17">
        <f>(A17/1000)/B4</f>
        <v>1.258930538507538E-2</v>
      </c>
      <c r="F17">
        <f>(D17/1000)/B4</f>
        <v>7.1445330941365308E-3</v>
      </c>
      <c r="G17">
        <f t="shared" si="7"/>
        <v>2.5033435820408505E-4</v>
      </c>
      <c r="H17">
        <f t="shared" si="1"/>
        <v>-8.2927131008523212</v>
      </c>
      <c r="I17">
        <v>8.3140000000000001</v>
      </c>
      <c r="J17">
        <v>295.14999999999998</v>
      </c>
      <c r="K17">
        <f t="shared" si="2"/>
        <v>139.96715906049803</v>
      </c>
      <c r="L17">
        <f t="shared" si="3"/>
        <v>140.96715906049803</v>
      </c>
      <c r="M17">
        <f t="shared" si="4"/>
        <v>4.9485269487848287</v>
      </c>
      <c r="N17">
        <f t="shared" si="5"/>
        <v>12143.076958355963</v>
      </c>
      <c r="O17">
        <f t="shared" si="6"/>
        <v>147454318.01655552</v>
      </c>
    </row>
    <row r="18" spans="1:15" x14ac:dyDescent="0.35">
      <c r="A18" s="1">
        <v>1000</v>
      </c>
      <c r="B18" s="4">
        <v>653.85</v>
      </c>
      <c r="C18" s="4">
        <v>655.02874999999995</v>
      </c>
      <c r="D18">
        <f t="shared" si="0"/>
        <v>654.43937499999993</v>
      </c>
      <c r="E18">
        <f>(A18/1000)/B4</f>
        <v>1.5736631731344222E-2</v>
      </c>
      <c r="F18">
        <f>(D18/1000)/B4</f>
        <v>1.0298671434866079E-2</v>
      </c>
      <c r="G18">
        <f t="shared" si="7"/>
        <v>2.5002116305646634E-4</v>
      </c>
      <c r="H18">
        <f t="shared" si="1"/>
        <v>-8.2939649914589602</v>
      </c>
      <c r="I18">
        <v>8.3140000000000001</v>
      </c>
      <c r="J18">
        <v>295.14999999999998</v>
      </c>
      <c r="K18">
        <f>1/F18</f>
        <v>97.099903256890698</v>
      </c>
      <c r="L18">
        <f t="shared" si="3"/>
        <v>98.099903256890698</v>
      </c>
      <c r="M18">
        <f t="shared" si="4"/>
        <v>4.5859863804025407</v>
      </c>
      <c r="N18">
        <f t="shared" si="5"/>
        <v>11253.446959781682</v>
      </c>
      <c r="O18">
        <f t="shared" si="6"/>
        <v>126640068.47661959</v>
      </c>
    </row>
    <row r="19" spans="1:15" x14ac:dyDescent="0.35">
      <c r="B19" s="4"/>
      <c r="C19" s="4"/>
    </row>
    <row r="20" spans="1:15" x14ac:dyDescent="0.35">
      <c r="C20" t="s">
        <v>37</v>
      </c>
      <c r="D20" t="s">
        <v>24</v>
      </c>
      <c r="E20" t="s">
        <v>25</v>
      </c>
      <c r="F20" t="s">
        <v>35</v>
      </c>
      <c r="G20" t="s">
        <v>66</v>
      </c>
      <c r="H20" t="s">
        <v>26</v>
      </c>
      <c r="I20" t="s">
        <v>31</v>
      </c>
      <c r="K20" t="s">
        <v>36</v>
      </c>
      <c r="L20" t="s">
        <v>58</v>
      </c>
    </row>
    <row r="21" spans="1:15" x14ac:dyDescent="0.35">
      <c r="A21" s="6" t="s">
        <v>40</v>
      </c>
      <c r="B21" s="7" t="s">
        <v>41</v>
      </c>
      <c r="C21" t="s">
        <v>38</v>
      </c>
      <c r="D21">
        <v>-7.593</v>
      </c>
      <c r="E21" s="5">
        <v>-7.4849000000000001E-9</v>
      </c>
      <c r="F21" s="5">
        <f>-1*E21</f>
        <v>7.4849000000000001E-9</v>
      </c>
      <c r="G21">
        <f>EXP(D21)*1000</f>
        <v>0.50396688319409066</v>
      </c>
      <c r="H21" s="5">
        <f>2*F21</f>
        <v>1.49698E-8</v>
      </c>
      <c r="I21" s="5">
        <f>1/SQRT(H21)</f>
        <v>8173.1976403444351</v>
      </c>
      <c r="K21">
        <v>0.94728999999999997</v>
      </c>
      <c r="L21" s="10">
        <v>18.155139999999999</v>
      </c>
    </row>
    <row r="22" spans="1:15" x14ac:dyDescent="0.35">
      <c r="A22" s="8" t="s">
        <v>42</v>
      </c>
      <c r="B22" s="9" t="s">
        <v>53</v>
      </c>
    </row>
    <row r="23" spans="1:15" x14ac:dyDescent="0.35">
      <c r="A23" s="8" t="s">
        <v>43</v>
      </c>
      <c r="B23" s="9" t="s">
        <v>44</v>
      </c>
      <c r="G23">
        <f>G21*B4*1000</f>
        <v>32025.079559451682</v>
      </c>
      <c r="H23" t="s">
        <v>59</v>
      </c>
      <c r="I23" t="s">
        <v>65</v>
      </c>
    </row>
    <row r="24" spans="1:15" ht="23" x14ac:dyDescent="0.35">
      <c r="A24" s="8" t="s">
        <v>45</v>
      </c>
      <c r="B24" s="9" t="s">
        <v>46</v>
      </c>
    </row>
    <row r="25" spans="1:15" ht="23" x14ac:dyDescent="0.35">
      <c r="A25" s="8" t="s">
        <v>47</v>
      </c>
      <c r="B25" s="9" t="s">
        <v>48</v>
      </c>
    </row>
    <row r="26" spans="1:15" x14ac:dyDescent="0.35">
      <c r="A26" s="8" t="s">
        <v>49</v>
      </c>
      <c r="B26" s="9">
        <v>0.93435999999999997</v>
      </c>
    </row>
    <row r="27" spans="1:15" x14ac:dyDescent="0.35">
      <c r="A27" s="8" t="s">
        <v>50</v>
      </c>
      <c r="B27" s="9">
        <v>-0.97779000000000005</v>
      </c>
    </row>
    <row r="28" spans="1:15" x14ac:dyDescent="0.35">
      <c r="A28" s="8" t="s">
        <v>51</v>
      </c>
      <c r="B28" s="9">
        <v>0.95608000000000004</v>
      </c>
    </row>
    <row r="29" spans="1:15" x14ac:dyDescent="0.35">
      <c r="A29" s="8" t="s">
        <v>52</v>
      </c>
      <c r="B29" s="9">
        <v>0.94728999999999997</v>
      </c>
      <c r="D29" t="s">
        <v>64</v>
      </c>
    </row>
    <row r="30" spans="1:15" x14ac:dyDescent="0.35">
      <c r="A30" s="11"/>
      <c r="B30" s="12"/>
    </row>
  </sheetData>
  <mergeCells count="1">
    <mergeCell ref="A30:B3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B802CC-049A-45AC-8148-EF8C521C44C9}">
  <dimension ref="A1:Q33"/>
  <sheetViews>
    <sheetView workbookViewId="0">
      <selection activeCell="G22" sqref="G22"/>
    </sheetView>
  </sheetViews>
  <sheetFormatPr defaultRowHeight="14.5" x14ac:dyDescent="0.35"/>
  <cols>
    <col min="1" max="1" width="27.36328125" customWidth="1"/>
    <col min="2" max="2" width="12.36328125" customWidth="1"/>
    <col min="4" max="4" width="9.26953125" customWidth="1"/>
    <col min="5" max="7" width="11.81640625" bestFit="1" customWidth="1"/>
    <col min="9" max="9" width="12.36328125" customWidth="1"/>
    <col min="13" max="13" width="11.26953125" customWidth="1"/>
    <col min="14" max="14" width="16.26953125" customWidth="1"/>
    <col min="15" max="15" width="11.81640625" bestFit="1" customWidth="1"/>
  </cols>
  <sheetData>
    <row r="1" spans="1:17" x14ac:dyDescent="0.35">
      <c r="A1" t="s">
        <v>34</v>
      </c>
    </row>
    <row r="3" spans="1:17" x14ac:dyDescent="0.35">
      <c r="A3" t="s">
        <v>1</v>
      </c>
      <c r="B3">
        <v>22</v>
      </c>
      <c r="Q3" s="2" t="s">
        <v>27</v>
      </c>
    </row>
    <row r="4" spans="1:17" x14ac:dyDescent="0.35">
      <c r="A4" t="s">
        <v>33</v>
      </c>
      <c r="B4">
        <v>237.2</v>
      </c>
      <c r="C4" t="s">
        <v>11</v>
      </c>
    </row>
    <row r="5" spans="1:17" x14ac:dyDescent="0.35">
      <c r="A5" t="s">
        <v>2</v>
      </c>
      <c r="B5">
        <v>0.435</v>
      </c>
      <c r="C5" t="s">
        <v>12</v>
      </c>
    </row>
    <row r="6" spans="1:17" x14ac:dyDescent="0.35">
      <c r="A6" t="s">
        <v>3</v>
      </c>
      <c r="B6">
        <v>0.02</v>
      </c>
      <c r="C6" t="s">
        <v>13</v>
      </c>
    </row>
    <row r="7" spans="1:17" x14ac:dyDescent="0.35">
      <c r="B7" t="s">
        <v>34</v>
      </c>
    </row>
    <row r="9" spans="1:17" x14ac:dyDescent="0.35">
      <c r="A9" s="1" t="s">
        <v>6</v>
      </c>
    </row>
    <row r="10" spans="1:17" x14ac:dyDescent="0.35">
      <c r="A10" s="1" t="s">
        <v>4</v>
      </c>
    </row>
    <row r="11" spans="1:17" x14ac:dyDescent="0.35">
      <c r="A11" s="1" t="s">
        <v>5</v>
      </c>
      <c r="B11" t="s">
        <v>8</v>
      </c>
      <c r="D11" t="s">
        <v>22</v>
      </c>
      <c r="E11" t="s">
        <v>10</v>
      </c>
      <c r="F11" t="s">
        <v>9</v>
      </c>
      <c r="G11" t="s">
        <v>14</v>
      </c>
      <c r="H11" t="s">
        <v>15</v>
      </c>
      <c r="I11" t="s">
        <v>16</v>
      </c>
      <c r="J11" t="s">
        <v>17</v>
      </c>
      <c r="K11" t="s">
        <v>18</v>
      </c>
      <c r="L11" t="s">
        <v>19</v>
      </c>
      <c r="M11" t="s">
        <v>32</v>
      </c>
      <c r="N11" s="3" t="s">
        <v>21</v>
      </c>
      <c r="O11" s="2" t="s">
        <v>23</v>
      </c>
      <c r="Q11" t="s">
        <v>63</v>
      </c>
    </row>
    <row r="12" spans="1:17" x14ac:dyDescent="0.35">
      <c r="A12" s="1">
        <v>5</v>
      </c>
      <c r="B12">
        <v>0.17100000000000001</v>
      </c>
      <c r="C12">
        <v>0.151</v>
      </c>
      <c r="D12">
        <f>AVERAGE(B12:C12 )</f>
        <v>0.161</v>
      </c>
      <c r="E12">
        <f>(A12/1000)/B4</f>
        <v>2.1079258010118044E-5</v>
      </c>
      <c r="F12">
        <f>(D12/1000)/B4</f>
        <v>6.7875210792580106E-7</v>
      </c>
      <c r="G12">
        <f>(E12-F12)*$B$6/$B$5</f>
        <v>9.3795429435366639E-7</v>
      </c>
      <c r="H12">
        <f>LN(G12)</f>
        <v>-13.879564615829219</v>
      </c>
      <c r="I12">
        <v>8.3140000000000001</v>
      </c>
      <c r="J12">
        <f>B3+273.15</f>
        <v>295.14999999999998</v>
      </c>
      <c r="K12">
        <f>1/F12</f>
        <v>1473291.9254658383</v>
      </c>
      <c r="L12">
        <f>1+K12</f>
        <v>1473292.9254658383</v>
      </c>
      <c r="M12">
        <f>LN(L12)</f>
        <v>14.203010538855258</v>
      </c>
      <c r="N12">
        <f>I12*J12*M12</f>
        <v>34852.442312355575</v>
      </c>
      <c r="O12">
        <f>(N12)^2</f>
        <v>1214692735.1360734</v>
      </c>
      <c r="Q12">
        <f>H12</f>
        <v>-13.879564615829219</v>
      </c>
    </row>
    <row r="13" spans="1:17" x14ac:dyDescent="0.35">
      <c r="A13" s="1">
        <v>10</v>
      </c>
      <c r="B13">
        <v>0.874</v>
      </c>
      <c r="C13">
        <v>0.86499999999999999</v>
      </c>
      <c r="D13">
        <f t="shared" ref="D13:D18" si="0">AVERAGE(B13:C13 )</f>
        <v>0.86949999999999994</v>
      </c>
      <c r="E13">
        <f>(A13/1000)/B4</f>
        <v>4.2158516020236088E-5</v>
      </c>
      <c r="F13">
        <f>(D13/1000)/B4</f>
        <v>3.6656829679595279E-6</v>
      </c>
      <c r="G13">
        <f>(E13-F13)*$B$6/$B$5</f>
        <v>1.7697854276908762E-6</v>
      </c>
      <c r="H13">
        <f t="shared" ref="H13:H18" si="1">LN(G13)</f>
        <v>-13.244652246020449</v>
      </c>
      <c r="I13">
        <v>8.3140000000000001</v>
      </c>
      <c r="J13">
        <v>295.14999999999998</v>
      </c>
      <c r="K13">
        <f t="shared" ref="K13:K17" si="2">1/F13</f>
        <v>272800.46003450261</v>
      </c>
      <c r="L13">
        <f t="shared" ref="L13:L18" si="3">1+K13</f>
        <v>272801.46003450261</v>
      </c>
      <c r="M13">
        <f t="shared" ref="M13:M18" si="4">LN(L13)</f>
        <v>12.516499556969757</v>
      </c>
      <c r="N13">
        <f t="shared" ref="N13:N18" si="5">I13*J13*M13</f>
        <v>30713.951635008227</v>
      </c>
      <c r="O13">
        <f t="shared" ref="O13:O18" si="6">(N13)^2</f>
        <v>943346825.03762448</v>
      </c>
      <c r="Q13">
        <f t="shared" ref="Q13:Q18" si="7">H13</f>
        <v>-13.244652246020449</v>
      </c>
    </row>
    <row r="14" spans="1:17" x14ac:dyDescent="0.35">
      <c r="A14" s="1">
        <v>50</v>
      </c>
      <c r="B14">
        <v>6.1040000000000001</v>
      </c>
      <c r="C14">
        <v>6.2119999999999997</v>
      </c>
      <c r="D14">
        <f t="shared" si="0"/>
        <v>6.1579999999999995</v>
      </c>
      <c r="E14">
        <f>(A14/1000)/B4</f>
        <v>2.1079258010118045E-4</v>
      </c>
      <c r="F14">
        <f>(D14/1000)/B4</f>
        <v>2.5961214165261383E-5</v>
      </c>
      <c r="G14">
        <f t="shared" ref="G14:G18" si="8">(E14-F14)*$B$6/$B$5</f>
        <v>8.4979938361342097E-6</v>
      </c>
      <c r="H14">
        <f t="shared" si="1"/>
        <v>-11.675680441603264</v>
      </c>
      <c r="I14">
        <v>8.3140000000000001</v>
      </c>
      <c r="J14">
        <v>295.14999999999998</v>
      </c>
      <c r="K14">
        <f t="shared" si="2"/>
        <v>38518.999675219224</v>
      </c>
      <c r="L14">
        <f t="shared" si="3"/>
        <v>38519.999675219224</v>
      </c>
      <c r="M14">
        <f t="shared" si="4"/>
        <v>10.558932857480578</v>
      </c>
      <c r="N14">
        <f t="shared" si="5"/>
        <v>25910.32353940915</v>
      </c>
      <c r="O14">
        <f t="shared" si="6"/>
        <v>671344865.91685987</v>
      </c>
      <c r="Q14">
        <f t="shared" si="7"/>
        <v>-11.675680441603264</v>
      </c>
    </row>
    <row r="15" spans="1:17" x14ac:dyDescent="0.35">
      <c r="A15" s="1">
        <v>100</v>
      </c>
      <c r="B15">
        <v>14.866</v>
      </c>
      <c r="C15">
        <v>14.936999999999999</v>
      </c>
      <c r="D15">
        <f t="shared" si="0"/>
        <v>14.901499999999999</v>
      </c>
      <c r="E15">
        <f>(A15/1000)/B4</f>
        <v>4.2158516020236091E-4</v>
      </c>
      <c r="F15">
        <f>(D15/1000)/B4</f>
        <v>6.2822512647554808E-5</v>
      </c>
      <c r="G15">
        <f t="shared" si="8"/>
        <v>1.6494834370335913E-5</v>
      </c>
      <c r="H15">
        <f t="shared" si="1"/>
        <v>-11.012463294538392</v>
      </c>
      <c r="I15">
        <v>8.3140000000000001</v>
      </c>
      <c r="J15">
        <v>295.14999999999998</v>
      </c>
      <c r="K15">
        <f t="shared" si="2"/>
        <v>15917.860618058585</v>
      </c>
      <c r="L15">
        <f t="shared" si="3"/>
        <v>15918.860618058585</v>
      </c>
      <c r="M15">
        <f t="shared" si="4"/>
        <v>9.6752598876197506</v>
      </c>
      <c r="N15">
        <f t="shared" si="5"/>
        <v>23741.898674778677</v>
      </c>
      <c r="O15">
        <f t="shared" si="6"/>
        <v>563677752.68345749</v>
      </c>
      <c r="Q15">
        <f t="shared" si="7"/>
        <v>-11.012463294538392</v>
      </c>
    </row>
    <row r="16" spans="1:17" x14ac:dyDescent="0.35">
      <c r="A16" s="1">
        <v>500</v>
      </c>
      <c r="B16">
        <v>204.27</v>
      </c>
      <c r="C16">
        <v>206.76</v>
      </c>
      <c r="D16">
        <f t="shared" si="0"/>
        <v>205.51499999999999</v>
      </c>
      <c r="E16">
        <f>(A16/1000)/B4</f>
        <v>2.1079258010118043E-3</v>
      </c>
      <c r="F16">
        <f>(D16/1000)/B4</f>
        <v>8.6642074198988188E-4</v>
      </c>
      <c r="G16">
        <f t="shared" si="8"/>
        <v>5.7080692368824012E-5</v>
      </c>
      <c r="H16">
        <f t="shared" si="1"/>
        <v>-9.7710446356320073</v>
      </c>
      <c r="I16">
        <v>8.3140000000000001</v>
      </c>
      <c r="J16">
        <v>295.14999999999998</v>
      </c>
      <c r="K16">
        <f t="shared" si="2"/>
        <v>1154.1736612899304</v>
      </c>
      <c r="L16">
        <f t="shared" si="3"/>
        <v>1155.1736612899304</v>
      </c>
      <c r="M16">
        <f t="shared" si="4"/>
        <v>7.0520059677487268</v>
      </c>
      <c r="N16">
        <f t="shared" si="5"/>
        <v>17304.755953321936</v>
      </c>
      <c r="O16">
        <f t="shared" si="6"/>
        <v>299454578.60403097</v>
      </c>
      <c r="Q16">
        <f t="shared" si="7"/>
        <v>-9.7710446356320073</v>
      </c>
    </row>
    <row r="17" spans="1:17" x14ac:dyDescent="0.35">
      <c r="A17" s="1">
        <v>800</v>
      </c>
      <c r="B17">
        <v>428.65</v>
      </c>
      <c r="C17">
        <v>433.67899999999997</v>
      </c>
      <c r="D17">
        <f t="shared" si="0"/>
        <v>431.16449999999998</v>
      </c>
      <c r="E17">
        <f>(A17/1000)/B4</f>
        <v>3.3726812816188873E-3</v>
      </c>
      <c r="F17">
        <f>(D17/1000)/B4</f>
        <v>1.8177255480607082E-3</v>
      </c>
      <c r="G17">
        <f t="shared" si="8"/>
        <v>7.149221763485881E-5</v>
      </c>
      <c r="H17">
        <f t="shared" si="1"/>
        <v>-9.5459219584559882</v>
      </c>
      <c r="I17">
        <v>8.3140000000000001</v>
      </c>
      <c r="J17">
        <v>295.14999999999998</v>
      </c>
      <c r="K17">
        <f t="shared" si="2"/>
        <v>550.13805635668064</v>
      </c>
      <c r="L17">
        <f t="shared" si="3"/>
        <v>551.13805635668064</v>
      </c>
      <c r="M17">
        <f t="shared" si="4"/>
        <v>6.3119853337702372</v>
      </c>
      <c r="N17">
        <f t="shared" si="5"/>
        <v>15488.836266074641</v>
      </c>
      <c r="O17">
        <f t="shared" si="6"/>
        <v>239904048.87726903</v>
      </c>
      <c r="Q17">
        <f t="shared" si="7"/>
        <v>-9.5459219584559882</v>
      </c>
    </row>
    <row r="18" spans="1:17" x14ac:dyDescent="0.35">
      <c r="A18" s="1">
        <v>1000</v>
      </c>
      <c r="B18">
        <v>653.08000000000004</v>
      </c>
      <c r="C18">
        <v>665.45</v>
      </c>
      <c r="D18">
        <f t="shared" si="0"/>
        <v>659.2650000000001</v>
      </c>
      <c r="E18">
        <f>(A18/1000)/B4</f>
        <v>4.2158516020236085E-3</v>
      </c>
      <c r="F18">
        <f>(D18/1000)/B4</f>
        <v>2.7793634064080951E-3</v>
      </c>
      <c r="G18">
        <f t="shared" si="8"/>
        <v>6.604543428117303E-5</v>
      </c>
      <c r="H18">
        <f t="shared" si="1"/>
        <v>-9.6251676545756126</v>
      </c>
      <c r="I18">
        <v>8.3140000000000001</v>
      </c>
      <c r="J18">
        <v>295.14999999999998</v>
      </c>
      <c r="K18">
        <f>1/F18</f>
        <v>359.79461976595138</v>
      </c>
      <c r="L18">
        <f t="shared" si="3"/>
        <v>360.79461976595138</v>
      </c>
      <c r="M18">
        <f t="shared" si="4"/>
        <v>5.8883088761203863</v>
      </c>
      <c r="N18">
        <f t="shared" si="5"/>
        <v>14449.186308838551</v>
      </c>
      <c r="O18">
        <f t="shared" si="6"/>
        <v>208778984.98752743</v>
      </c>
      <c r="Q18">
        <f t="shared" si="7"/>
        <v>-9.6251676545756126</v>
      </c>
    </row>
    <row r="19" spans="1:17" x14ac:dyDescent="0.35">
      <c r="B19" s="4"/>
      <c r="C19" s="4"/>
    </row>
    <row r="20" spans="1:17" x14ac:dyDescent="0.35">
      <c r="C20" t="s">
        <v>34</v>
      </c>
      <c r="D20" t="s">
        <v>24</v>
      </c>
      <c r="E20" t="s">
        <v>25</v>
      </c>
      <c r="F20" t="s">
        <v>35</v>
      </c>
      <c r="G20" t="s">
        <v>66</v>
      </c>
      <c r="H20" t="s">
        <v>26</v>
      </c>
      <c r="I20" t="s">
        <v>31</v>
      </c>
      <c r="K20" t="s">
        <v>36</v>
      </c>
      <c r="L20" t="s">
        <v>58</v>
      </c>
    </row>
    <row r="21" spans="1:17" x14ac:dyDescent="0.35">
      <c r="A21" s="6" t="s">
        <v>40</v>
      </c>
      <c r="B21" s="7" t="s">
        <v>41</v>
      </c>
      <c r="C21" t="s">
        <v>39</v>
      </c>
      <c r="D21">
        <v>-8.7718299999999996</v>
      </c>
      <c r="E21" s="5">
        <v>-4.4625399999999998E-9</v>
      </c>
      <c r="F21" s="5">
        <f>-1*E21</f>
        <v>4.4625399999999998E-9</v>
      </c>
      <c r="G21">
        <f>EXP(D21)*1000</f>
        <v>0.15503959841929482</v>
      </c>
      <c r="H21" s="5">
        <f>2*F21</f>
        <v>8.9250799999999995E-9</v>
      </c>
      <c r="I21" s="5">
        <f>1/SQRT(H21)</f>
        <v>10585.075040493344</v>
      </c>
      <c r="K21">
        <v>0.98382999999999998</v>
      </c>
      <c r="L21" s="10">
        <v>17.591570000000001</v>
      </c>
    </row>
    <row r="22" spans="1:17" x14ac:dyDescent="0.35">
      <c r="A22" s="8" t="s">
        <v>42</v>
      </c>
      <c r="B22" s="9" t="s">
        <v>15</v>
      </c>
    </row>
    <row r="23" spans="1:17" x14ac:dyDescent="0.35">
      <c r="A23" s="8" t="s">
        <v>43</v>
      </c>
      <c r="B23" s="9" t="s">
        <v>44</v>
      </c>
      <c r="G23">
        <f>G21*B4*1000</f>
        <v>36775.392745056728</v>
      </c>
      <c r="H23" t="s">
        <v>59</v>
      </c>
    </row>
    <row r="24" spans="1:17" ht="23" x14ac:dyDescent="0.35">
      <c r="A24" s="8" t="s">
        <v>45</v>
      </c>
      <c r="B24" s="9" t="s">
        <v>29</v>
      </c>
      <c r="D24" s="2"/>
    </row>
    <row r="25" spans="1:17" ht="23" x14ac:dyDescent="0.35">
      <c r="A25" s="8" t="s">
        <v>47</v>
      </c>
      <c r="B25" s="9" t="s">
        <v>30</v>
      </c>
      <c r="D25" t="s">
        <v>54</v>
      </c>
    </row>
    <row r="26" spans="1:17" x14ac:dyDescent="0.35">
      <c r="A26" s="8" t="s">
        <v>49</v>
      </c>
      <c r="B26" s="9">
        <v>0.25424000000000002</v>
      </c>
    </row>
    <row r="27" spans="1:17" x14ac:dyDescent="0.35">
      <c r="A27" s="8" t="s">
        <v>50</v>
      </c>
      <c r="B27" s="9">
        <v>-0.99324000000000001</v>
      </c>
      <c r="D27" t="s">
        <v>55</v>
      </c>
    </row>
    <row r="28" spans="1:17" x14ac:dyDescent="0.35">
      <c r="A28" s="8" t="s">
        <v>51</v>
      </c>
      <c r="B28" s="9">
        <v>0.98651999999999995</v>
      </c>
      <c r="D28" t="s">
        <v>56</v>
      </c>
    </row>
    <row r="29" spans="1:17" x14ac:dyDescent="0.35">
      <c r="A29" s="8" t="s">
        <v>52</v>
      </c>
      <c r="B29" s="9">
        <v>0.98382999999999998</v>
      </c>
      <c r="D29" t="s">
        <v>57</v>
      </c>
    </row>
    <row r="30" spans="1:17" x14ac:dyDescent="0.35">
      <c r="A30" s="11"/>
      <c r="B30" s="12"/>
    </row>
    <row r="33" spans="6:6" x14ac:dyDescent="0.35">
      <c r="F33">
        <f>EXP(-2*10^-9)</f>
        <v>0.99999999800000006</v>
      </c>
    </row>
  </sheetData>
  <mergeCells count="1">
    <mergeCell ref="A30:B30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8AEB3905992E54BBAD901A47ED1CA8C" ma:contentTypeVersion="18" ma:contentTypeDescription="Create a new document." ma:contentTypeScope="" ma:versionID="855d489124c00489e273ad516665d482">
  <xsd:schema xmlns:xsd="http://www.w3.org/2001/XMLSchema" xmlns:xs="http://www.w3.org/2001/XMLSchema" xmlns:p="http://schemas.microsoft.com/office/2006/metadata/properties" xmlns:ns2="1c66cb88-db77-4d42-9dc4-fb37066edc24" xmlns:ns3="7cf861dc-a431-4ef3-8baf-d03d54e74a07" targetNamespace="http://schemas.microsoft.com/office/2006/metadata/properties" ma:root="true" ma:fieldsID="b4cc50d5a7126749e578fa96a9e405f8" ns2:_="" ns3:_="">
    <xsd:import namespace="1c66cb88-db77-4d42-9dc4-fb37066edc24"/>
    <xsd:import namespace="7cf861dc-a431-4ef3-8baf-d03d54e74a0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66cb88-db77-4d42-9dc4-fb37066edc2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b3a19cb6-1b10-4512-a12b-f76e45842a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f861dc-a431-4ef3-8baf-d03d54e74a07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591ac723-6a7a-431d-b784-496353a11c74}" ma:internalName="TaxCatchAll" ma:showField="CatchAllData" ma:web="7cf861dc-a431-4ef3-8baf-d03d54e74a0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c66cb88-db77-4d42-9dc4-fb37066edc24">
      <Terms xmlns="http://schemas.microsoft.com/office/infopath/2007/PartnerControls"/>
    </lcf76f155ced4ddcb4097134ff3c332f>
    <TaxCatchAll xmlns="7cf861dc-a431-4ef3-8baf-d03d54e74a07" xsi:nil="true"/>
  </documentManagement>
</p:properties>
</file>

<file path=customXml/itemProps1.xml><?xml version="1.0" encoding="utf-8"?>
<ds:datastoreItem xmlns:ds="http://schemas.openxmlformats.org/officeDocument/2006/customXml" ds:itemID="{920EC493-F3D3-424A-A0DB-9C093C284FE3}"/>
</file>

<file path=customXml/itemProps2.xml><?xml version="1.0" encoding="utf-8"?>
<ds:datastoreItem xmlns:ds="http://schemas.openxmlformats.org/officeDocument/2006/customXml" ds:itemID="{0EFDD2D4-FA78-4FED-9DD6-7B481FA9343B}"/>
</file>

<file path=customXml/itemProps3.xml><?xml version="1.0" encoding="utf-8"?>
<ds:datastoreItem xmlns:ds="http://schemas.openxmlformats.org/officeDocument/2006/customXml" ds:itemID="{24B320AD-0532-4FB3-BD51-E48D7D061D4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Cu dubninRadushkevich isotherm</vt:lpstr>
      <vt:lpstr>Lead Dubinin 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Enemmoh</dc:creator>
  <cp:lastModifiedBy>Timothy Hunter</cp:lastModifiedBy>
  <dcterms:created xsi:type="dcterms:W3CDTF">2024-12-07T04:17:38Z</dcterms:created>
  <dcterms:modified xsi:type="dcterms:W3CDTF">2025-03-06T17:01:48Z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0x01010068AEB3905992E54BBAD901A47ED1CA8C</vt:lpwstr>
  </property>
</Properties>
</file>