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pretnh\Desktop\"/>
    </mc:Choice>
  </mc:AlternateContent>
  <xr:revisionPtr revIDLastSave="0" documentId="13_ncr:1_{D29BBFB1-DB51-4DAD-8545-C447D4703347}" xr6:coauthVersionLast="47" xr6:coauthVersionMax="47" xr10:uidLastSave="{00000000-0000-0000-0000-000000000000}"/>
  <bookViews>
    <workbookView xWindow="28680" yWindow="-120" windowWidth="29040" windowHeight="15840" activeTab="3" xr2:uid="{00000000-000D-0000-FFFF-FFFF00000000}"/>
  </bookViews>
  <sheets>
    <sheet name="copper 10ppm" sheetId="2" r:id="rId1"/>
    <sheet name="Copper 100 ppm" sheetId="6" r:id="rId2"/>
    <sheet name="lead 10ppm " sheetId="4" r:id="rId3"/>
    <sheet name="Lead 100 ppm" sheetId="5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18" i="6" l="1"/>
  <c r="O18" i="6"/>
  <c r="N18" i="6"/>
  <c r="I18" i="6"/>
  <c r="F18" i="6"/>
  <c r="H18" i="6" s="1"/>
  <c r="E18" i="6"/>
  <c r="K18" i="6" s="1"/>
  <c r="L18" i="6" s="1"/>
  <c r="Q17" i="6"/>
  <c r="F17" i="6"/>
  <c r="E17" i="6"/>
  <c r="K17" i="6" s="1"/>
  <c r="L17" i="6" s="1"/>
  <c r="Q16" i="6"/>
  <c r="O16" i="6"/>
  <c r="N16" i="6"/>
  <c r="I16" i="6"/>
  <c r="F16" i="6"/>
  <c r="E16" i="6"/>
  <c r="K16" i="6" s="1"/>
  <c r="L16" i="6" s="1"/>
  <c r="Q15" i="6"/>
  <c r="F15" i="6"/>
  <c r="E15" i="6"/>
  <c r="K15" i="6" s="1"/>
  <c r="L15" i="6" s="1"/>
  <c r="Q14" i="6"/>
  <c r="O14" i="6"/>
  <c r="N14" i="6"/>
  <c r="I14" i="6"/>
  <c r="F14" i="6"/>
  <c r="E14" i="6"/>
  <c r="K14" i="6" s="1"/>
  <c r="L14" i="6" s="1"/>
  <c r="Q13" i="6"/>
  <c r="F13" i="6"/>
  <c r="E13" i="6"/>
  <c r="K13" i="6" s="1"/>
  <c r="L13" i="6" s="1"/>
  <c r="Q12" i="6"/>
  <c r="O12" i="6"/>
  <c r="N12" i="6"/>
  <c r="I12" i="6"/>
  <c r="F12" i="6"/>
  <c r="E12" i="6"/>
  <c r="K12" i="6" s="1"/>
  <c r="L12" i="6" s="1"/>
  <c r="Q11" i="6"/>
  <c r="N11" i="6"/>
  <c r="K11" i="6"/>
  <c r="L11" i="6" s="1"/>
  <c r="I11" i="6"/>
  <c r="F11" i="6"/>
  <c r="E11" i="6"/>
  <c r="O11" i="6" s="1"/>
  <c r="Q10" i="6"/>
  <c r="O10" i="6"/>
  <c r="N10" i="6"/>
  <c r="K10" i="6"/>
  <c r="L10" i="6" s="1"/>
  <c r="I10" i="6"/>
  <c r="F10" i="6"/>
  <c r="E10" i="6"/>
  <c r="Q9" i="6"/>
  <c r="F9" i="6"/>
  <c r="E9" i="6"/>
  <c r="O9" i="6" s="1"/>
  <c r="U6" i="6"/>
  <c r="B4" i="6"/>
  <c r="G18" i="6" s="1"/>
  <c r="M18" i="6" s="1"/>
  <c r="P3" i="6"/>
  <c r="M3" i="6"/>
  <c r="N3" i="6" s="1"/>
  <c r="L3" i="6"/>
  <c r="R18" i="5"/>
  <c r="J18" i="5"/>
  <c r="F18" i="5"/>
  <c r="E18" i="5"/>
  <c r="P18" i="5" s="1"/>
  <c r="R17" i="5"/>
  <c r="F17" i="5"/>
  <c r="E17" i="5"/>
  <c r="L17" i="5" s="1"/>
  <c r="M17" i="5" s="1"/>
  <c r="R16" i="5"/>
  <c r="O16" i="5"/>
  <c r="J16" i="5"/>
  <c r="F16" i="5"/>
  <c r="E16" i="5"/>
  <c r="P16" i="5" s="1"/>
  <c r="R15" i="5"/>
  <c r="F15" i="5"/>
  <c r="E15" i="5"/>
  <c r="L15" i="5" s="1"/>
  <c r="M15" i="5" s="1"/>
  <c r="R14" i="5"/>
  <c r="O14" i="5"/>
  <c r="J14" i="5"/>
  <c r="F14" i="5"/>
  <c r="E14" i="5"/>
  <c r="P14" i="5" s="1"/>
  <c r="R13" i="5"/>
  <c r="F13" i="5"/>
  <c r="E13" i="5"/>
  <c r="L13" i="5" s="1"/>
  <c r="M13" i="5" s="1"/>
  <c r="R12" i="5"/>
  <c r="O12" i="5"/>
  <c r="J12" i="5"/>
  <c r="F12" i="5"/>
  <c r="E12" i="5"/>
  <c r="P12" i="5" s="1"/>
  <c r="R11" i="5"/>
  <c r="F11" i="5"/>
  <c r="E11" i="5"/>
  <c r="L11" i="5" s="1"/>
  <c r="M11" i="5" s="1"/>
  <c r="R10" i="5"/>
  <c r="O10" i="5"/>
  <c r="J10" i="5"/>
  <c r="F10" i="5"/>
  <c r="E10" i="5"/>
  <c r="P10" i="5" s="1"/>
  <c r="R9" i="5"/>
  <c r="I9" i="5"/>
  <c r="F9" i="5"/>
  <c r="E9" i="5"/>
  <c r="L9" i="5" s="1"/>
  <c r="M9" i="5" s="1"/>
  <c r="B4" i="5"/>
  <c r="V3" i="5"/>
  <c r="U3" i="5"/>
  <c r="I3" i="5"/>
  <c r="J3" i="5" s="1"/>
  <c r="H3" i="5"/>
  <c r="G10" i="2"/>
  <c r="G11" i="2"/>
  <c r="G12" i="2"/>
  <c r="G13" i="2"/>
  <c r="G14" i="2"/>
  <c r="G15" i="2"/>
  <c r="G16" i="2"/>
  <c r="G17" i="2"/>
  <c r="G18" i="2"/>
  <c r="G9" i="2"/>
  <c r="G10" i="4"/>
  <c r="G11" i="4"/>
  <c r="G12" i="4"/>
  <c r="G13" i="4"/>
  <c r="G14" i="4"/>
  <c r="G15" i="4"/>
  <c r="G16" i="4"/>
  <c r="G17" i="4"/>
  <c r="G18" i="4"/>
  <c r="G9" i="4"/>
  <c r="J3" i="4"/>
  <c r="I3" i="4"/>
  <c r="J3" i="2"/>
  <c r="I3" i="2"/>
  <c r="K3" i="4"/>
  <c r="H3" i="2"/>
  <c r="H9" i="4"/>
  <c r="H12" i="6" l="1"/>
  <c r="H14" i="6"/>
  <c r="H11" i="6"/>
  <c r="H16" i="6"/>
  <c r="T6" i="6"/>
  <c r="I9" i="6"/>
  <c r="G11" i="6"/>
  <c r="N13" i="6"/>
  <c r="J14" i="6"/>
  <c r="N15" i="6"/>
  <c r="J16" i="6"/>
  <c r="N17" i="6"/>
  <c r="J18" i="6"/>
  <c r="G13" i="6"/>
  <c r="O13" i="6"/>
  <c r="G15" i="6"/>
  <c r="H15" i="6" s="1"/>
  <c r="O15" i="6"/>
  <c r="G17" i="6"/>
  <c r="O17" i="6"/>
  <c r="K9" i="6"/>
  <c r="L9" i="6" s="1"/>
  <c r="H13" i="6"/>
  <c r="H17" i="6"/>
  <c r="G10" i="6"/>
  <c r="I13" i="6"/>
  <c r="I15" i="6"/>
  <c r="I17" i="6"/>
  <c r="N9" i="6"/>
  <c r="G12" i="6"/>
  <c r="M12" i="6" s="1"/>
  <c r="G14" i="6"/>
  <c r="M14" i="6" s="1"/>
  <c r="G16" i="6"/>
  <c r="M16" i="6" s="1"/>
  <c r="G9" i="6"/>
  <c r="M9" i="6" s="1"/>
  <c r="H9" i="5"/>
  <c r="G9" i="5"/>
  <c r="N9" i="5" s="1"/>
  <c r="O13" i="5"/>
  <c r="O15" i="5"/>
  <c r="P9" i="5"/>
  <c r="L10" i="5"/>
  <c r="M10" i="5" s="1"/>
  <c r="G11" i="5"/>
  <c r="N11" i="5" s="1"/>
  <c r="P11" i="5"/>
  <c r="L12" i="5"/>
  <c r="M12" i="5" s="1"/>
  <c r="G13" i="5"/>
  <c r="N13" i="5" s="1"/>
  <c r="P13" i="5"/>
  <c r="L14" i="5"/>
  <c r="M14" i="5" s="1"/>
  <c r="G15" i="5"/>
  <c r="N15" i="5" s="1"/>
  <c r="P15" i="5"/>
  <c r="L16" i="5"/>
  <c r="M16" i="5" s="1"/>
  <c r="G17" i="5"/>
  <c r="N17" i="5" s="1"/>
  <c r="P17" i="5"/>
  <c r="L18" i="5"/>
  <c r="M18" i="5" s="1"/>
  <c r="O9" i="5"/>
  <c r="O17" i="5"/>
  <c r="O11" i="5"/>
  <c r="J9" i="5"/>
  <c r="J11" i="5"/>
  <c r="J13" i="5"/>
  <c r="J15" i="5"/>
  <c r="J17" i="5"/>
  <c r="K17" i="5"/>
  <c r="O18" i="5"/>
  <c r="K11" i="5"/>
  <c r="G10" i="5"/>
  <c r="G12" i="5"/>
  <c r="G14" i="5"/>
  <c r="G16" i="5"/>
  <c r="G18" i="5"/>
  <c r="E9" i="4"/>
  <c r="I9" i="4" s="1"/>
  <c r="F9" i="4"/>
  <c r="H18" i="2"/>
  <c r="I10" i="2"/>
  <c r="I11" i="2"/>
  <c r="I12" i="2"/>
  <c r="I13" i="2"/>
  <c r="I14" i="2"/>
  <c r="I15" i="2"/>
  <c r="I16" i="2"/>
  <c r="I17" i="2"/>
  <c r="I18" i="2"/>
  <c r="I9" i="2"/>
  <c r="H10" i="4"/>
  <c r="H11" i="4"/>
  <c r="H12" i="4"/>
  <c r="H13" i="4"/>
  <c r="H14" i="4"/>
  <c r="H15" i="4"/>
  <c r="H16" i="4"/>
  <c r="H17" i="4"/>
  <c r="H18" i="4"/>
  <c r="F10" i="4"/>
  <c r="F11" i="4"/>
  <c r="F12" i="4"/>
  <c r="F13" i="4"/>
  <c r="F14" i="4"/>
  <c r="F15" i="4"/>
  <c r="F16" i="4"/>
  <c r="F17" i="4"/>
  <c r="F18" i="4"/>
  <c r="F10" i="2"/>
  <c r="F11" i="2"/>
  <c r="F12" i="2"/>
  <c r="F13" i="2"/>
  <c r="F14" i="2"/>
  <c r="F15" i="2"/>
  <c r="F16" i="2"/>
  <c r="F17" i="2"/>
  <c r="F18" i="2"/>
  <c r="B4" i="4"/>
  <c r="E10" i="4"/>
  <c r="E11" i="4"/>
  <c r="K11" i="4" s="1"/>
  <c r="L11" i="4" s="1"/>
  <c r="S36" i="4"/>
  <c r="E12" i="4"/>
  <c r="I12" i="4" s="1"/>
  <c r="E13" i="4"/>
  <c r="E14" i="4"/>
  <c r="E15" i="4"/>
  <c r="O15" i="4" s="1"/>
  <c r="E16" i="4"/>
  <c r="N16" i="4" s="1"/>
  <c r="E17" i="4"/>
  <c r="N17" i="4" s="1"/>
  <c r="M17" i="4"/>
  <c r="E18" i="4"/>
  <c r="T10" i="2"/>
  <c r="T11" i="2"/>
  <c r="T8" i="2"/>
  <c r="T9" i="2"/>
  <c r="T7" i="2"/>
  <c r="O13" i="4"/>
  <c r="E18" i="2"/>
  <c r="K18" i="2" s="1"/>
  <c r="L18" i="2" s="1"/>
  <c r="E17" i="2"/>
  <c r="N17" i="2" s="1"/>
  <c r="E16" i="2"/>
  <c r="E15" i="2"/>
  <c r="E14" i="2"/>
  <c r="H14" i="2" s="1"/>
  <c r="E13" i="2"/>
  <c r="B4" i="2"/>
  <c r="R32" i="2"/>
  <c r="E12" i="2"/>
  <c r="H12" i="2"/>
  <c r="E11" i="2"/>
  <c r="N11" i="2"/>
  <c r="E10" i="2"/>
  <c r="N10" i="2"/>
  <c r="F9" i="2"/>
  <c r="E9" i="2"/>
  <c r="K9" i="2"/>
  <c r="L9" i="2" s="1"/>
  <c r="N9" i="2"/>
  <c r="H16" i="2"/>
  <c r="N16" i="2"/>
  <c r="K16" i="4"/>
  <c r="L16" i="4" s="1"/>
  <c r="K15" i="4"/>
  <c r="L15" i="4" s="1"/>
  <c r="K14" i="4"/>
  <c r="L14" i="4" s="1"/>
  <c r="K13" i="4"/>
  <c r="L13" i="4" s="1"/>
  <c r="K13" i="2"/>
  <c r="L13" i="2" s="1"/>
  <c r="I13" i="4"/>
  <c r="N13" i="4"/>
  <c r="N10" i="4"/>
  <c r="O16" i="4"/>
  <c r="O10" i="4"/>
  <c r="N14" i="4"/>
  <c r="I16" i="4"/>
  <c r="I10" i="4"/>
  <c r="H9" i="2"/>
  <c r="H11" i="2"/>
  <c r="H10" i="2"/>
  <c r="K10" i="2"/>
  <c r="L10" i="2"/>
  <c r="K12" i="2"/>
  <c r="L12" i="2" s="1"/>
  <c r="K11" i="2"/>
  <c r="L11" i="2"/>
  <c r="H13" i="2"/>
  <c r="K16" i="2"/>
  <c r="L16" i="2" s="1"/>
  <c r="J13" i="2"/>
  <c r="K17" i="2"/>
  <c r="L17" i="2"/>
  <c r="H17" i="2"/>
  <c r="N18" i="2"/>
  <c r="R37" i="2"/>
  <c r="N13" i="2"/>
  <c r="N12" i="2"/>
  <c r="M13" i="2"/>
  <c r="O15" i="2"/>
  <c r="O16" i="2"/>
  <c r="O9" i="2"/>
  <c r="R35" i="2"/>
  <c r="O17" i="2"/>
  <c r="R36" i="2"/>
  <c r="O18" i="2"/>
  <c r="R28" i="2"/>
  <c r="O10" i="2"/>
  <c r="R29" i="2"/>
  <c r="O11" i="2"/>
  <c r="R30" i="2"/>
  <c r="O12" i="2"/>
  <c r="J12" i="2"/>
  <c r="O13" i="2"/>
  <c r="J11" i="2"/>
  <c r="R31" i="2"/>
  <c r="J9" i="2"/>
  <c r="M9" i="2"/>
  <c r="J18" i="2"/>
  <c r="J16" i="2"/>
  <c r="J10" i="2"/>
  <c r="M18" i="2"/>
  <c r="M12" i="2"/>
  <c r="M16" i="2"/>
  <c r="J13" i="6" l="1"/>
  <c r="M13" i="6"/>
  <c r="J9" i="6"/>
  <c r="H9" i="6"/>
  <c r="M11" i="6"/>
  <c r="J11" i="6"/>
  <c r="J15" i="6"/>
  <c r="M15" i="6"/>
  <c r="J12" i="6"/>
  <c r="J17" i="6"/>
  <c r="M17" i="6"/>
  <c r="T10" i="6"/>
  <c r="T8" i="6"/>
  <c r="T11" i="6"/>
  <c r="T7" i="6"/>
  <c r="T9" i="6"/>
  <c r="J10" i="6"/>
  <c r="H10" i="6"/>
  <c r="M10" i="6"/>
  <c r="H18" i="5"/>
  <c r="N18" i="5"/>
  <c r="K18" i="5"/>
  <c r="N14" i="5"/>
  <c r="H14" i="5"/>
  <c r="K14" i="5"/>
  <c r="K15" i="5"/>
  <c r="H17" i="5"/>
  <c r="K10" i="5"/>
  <c r="N10" i="5"/>
  <c r="H10" i="5"/>
  <c r="K13" i="5"/>
  <c r="H15" i="5"/>
  <c r="H13" i="5"/>
  <c r="N16" i="5"/>
  <c r="H16" i="5"/>
  <c r="K16" i="5"/>
  <c r="N12" i="5"/>
  <c r="K12" i="5"/>
  <c r="H12" i="5"/>
  <c r="K9" i="5"/>
  <c r="H11" i="5"/>
  <c r="R34" i="2"/>
  <c r="M15" i="2"/>
  <c r="M17" i="2"/>
  <c r="N14" i="2"/>
  <c r="N15" i="2"/>
  <c r="J15" i="2"/>
  <c r="J14" i="2"/>
  <c r="M11" i="2"/>
  <c r="K14" i="2"/>
  <c r="L14" i="2" s="1"/>
  <c r="O14" i="2"/>
  <c r="K15" i="2"/>
  <c r="L15" i="2" s="1"/>
  <c r="H15" i="2"/>
  <c r="M10" i="2"/>
  <c r="J17" i="2"/>
  <c r="N15" i="4"/>
  <c r="I15" i="4"/>
  <c r="F20" i="4"/>
  <c r="K9" i="4"/>
  <c r="L9" i="4" s="1"/>
  <c r="S40" i="4"/>
  <c r="J15" i="4"/>
  <c r="M15" i="4"/>
  <c r="N11" i="4"/>
  <c r="N12" i="4"/>
  <c r="M14" i="4"/>
  <c r="K12" i="4"/>
  <c r="L12" i="4" s="1"/>
  <c r="I18" i="4"/>
  <c r="J13" i="4"/>
  <c r="O12" i="4"/>
  <c r="I17" i="4"/>
  <c r="I14" i="4"/>
  <c r="O9" i="4"/>
  <c r="O14" i="4"/>
  <c r="I11" i="4"/>
  <c r="O18" i="4"/>
  <c r="J17" i="4"/>
  <c r="J11" i="4"/>
  <c r="O11" i="4"/>
  <c r="O17" i="4"/>
  <c r="K17" i="4"/>
  <c r="L17" i="4" s="1"/>
  <c r="K18" i="4"/>
  <c r="L18" i="4" s="1"/>
  <c r="N9" i="4"/>
  <c r="N18" i="4"/>
  <c r="M11" i="4"/>
  <c r="M16" i="4"/>
  <c r="J16" i="4"/>
  <c r="S41" i="4"/>
  <c r="S35" i="4"/>
  <c r="J10" i="4"/>
  <c r="M10" i="4"/>
  <c r="S43" i="4"/>
  <c r="M18" i="4"/>
  <c r="J18" i="4"/>
  <c r="K10" i="4"/>
  <c r="L10" i="4" s="1"/>
  <c r="S42" i="4"/>
  <c r="M14" i="2" l="1"/>
  <c r="R33" i="2"/>
  <c r="M13" i="4"/>
  <c r="S38" i="4"/>
  <c r="J14" i="4"/>
  <c r="S39" i="4"/>
  <c r="S34" i="4"/>
  <c r="J9" i="4"/>
  <c r="M9" i="4"/>
  <c r="J12" i="4"/>
  <c r="M12" i="4"/>
  <c r="S37" i="4"/>
  <c r="S46" i="4" s="1"/>
  <c r="R41" i="2" l="1"/>
  <c r="R39" i="2"/>
  <c r="R44" i="2" s="1"/>
  <c r="R40" i="2"/>
  <c r="S48" i="4"/>
  <c r="S45" i="4"/>
  <c r="S50" i="4" s="1"/>
  <c r="S47" i="4"/>
  <c r="R42" i="2" l="1"/>
  <c r="R43" i="2"/>
  <c r="S49" i="4"/>
  <c r="Q15" i="2" l="1"/>
  <c r="Q12" i="2"/>
  <c r="Q14" i="2"/>
  <c r="Q11" i="2"/>
  <c r="Q13" i="2"/>
  <c r="Q10" i="2"/>
  <c r="Q17" i="2"/>
  <c r="Q9" i="2"/>
  <c r="Q16" i="2"/>
  <c r="Q18" i="2"/>
  <c r="Q17" i="4"/>
  <c r="Q10" i="4"/>
  <c r="Q18" i="4"/>
  <c r="Q11" i="4"/>
  <c r="Q16" i="4"/>
  <c r="Q9" i="4"/>
  <c r="Q14" i="4"/>
  <c r="Q12" i="4"/>
  <c r="Q15" i="4"/>
  <c r="Q13" i="4"/>
  <c r="U8" i="5" l="1"/>
  <c r="U7" i="5"/>
  <c r="U5" i="5"/>
  <c r="U6" i="5"/>
  <c r="U4" i="5"/>
</calcChain>
</file>

<file path=xl/sharedStrings.xml><?xml version="1.0" encoding="utf-8"?>
<sst xmlns="http://schemas.openxmlformats.org/spreadsheetml/2006/main" count="149" uniqueCount="52">
  <si>
    <t>Co</t>
  </si>
  <si>
    <t>ppm</t>
  </si>
  <si>
    <t>copper</t>
  </si>
  <si>
    <t>mass</t>
  </si>
  <si>
    <t>g</t>
  </si>
  <si>
    <t>V</t>
  </si>
  <si>
    <t>ml</t>
  </si>
  <si>
    <t>l</t>
  </si>
  <si>
    <t>Time</t>
  </si>
  <si>
    <t>Ce</t>
  </si>
  <si>
    <t>Average</t>
  </si>
  <si>
    <t>Stdev</t>
  </si>
  <si>
    <t>Qt</t>
  </si>
  <si>
    <t>mins</t>
  </si>
  <si>
    <t>%Removal</t>
  </si>
  <si>
    <t>log(qt-qe)</t>
  </si>
  <si>
    <t>logqe</t>
  </si>
  <si>
    <t>log qe-k1/2.303</t>
  </si>
  <si>
    <t>t/qt</t>
  </si>
  <si>
    <t>1/k2qe*2</t>
  </si>
  <si>
    <t>1/qe</t>
  </si>
  <si>
    <t>t</t>
  </si>
  <si>
    <t>intercept</t>
  </si>
  <si>
    <t>slope</t>
  </si>
  <si>
    <t>qe (1/slope)</t>
  </si>
  <si>
    <t>h(1/intercept)</t>
  </si>
  <si>
    <r>
      <t>R</t>
    </r>
    <r>
      <rPr>
        <vertAlign val="superscript"/>
        <sz val="10"/>
        <color theme="1"/>
        <rFont val="Arial"/>
        <family val="2"/>
      </rPr>
      <t>2</t>
    </r>
  </si>
  <si>
    <r>
      <t>k'2 (slope</t>
    </r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>/intercept) x 10</t>
    </r>
    <r>
      <rPr>
        <vertAlign val="superscript"/>
        <sz val="10"/>
        <color theme="1"/>
        <rFont val="Arial"/>
        <family val="2"/>
      </rPr>
      <t>3</t>
    </r>
  </si>
  <si>
    <t>qe</t>
  </si>
  <si>
    <t>log(qe-qt)</t>
  </si>
  <si>
    <t>1/k2*qe*2</t>
  </si>
  <si>
    <t xml:space="preserve">lead </t>
  </si>
  <si>
    <t>Pb2+</t>
  </si>
  <si>
    <t>k2</t>
  </si>
  <si>
    <t>logqe -(ki/2.303)</t>
  </si>
  <si>
    <t>Qt PSO</t>
  </si>
  <si>
    <t>T/QT</t>
  </si>
  <si>
    <t>T</t>
  </si>
  <si>
    <t>qt stedv</t>
  </si>
  <si>
    <t>qt Sted v</t>
  </si>
  <si>
    <t>qe*2</t>
  </si>
  <si>
    <t>r2</t>
  </si>
  <si>
    <t>qe cal</t>
  </si>
  <si>
    <t>qe exp</t>
  </si>
  <si>
    <t>cu2+ 10ppm</t>
  </si>
  <si>
    <t>R2</t>
  </si>
  <si>
    <t xml:space="preserve">intercept </t>
  </si>
  <si>
    <t>qt STdev</t>
  </si>
  <si>
    <t>cu2+</t>
  </si>
  <si>
    <t>qe(mg/g)</t>
  </si>
  <si>
    <t>R² = 0.9999</t>
  </si>
  <si>
    <t>qt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</si>
</sst>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0"/>
      <color rgb="FFFF0000"/>
      <name val="Arial"/>
      <family val="2"/>
    </font>
    <font>
      <sz val="9"/>
      <color rgb="FF595959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3" fillId="0" borderId="0" xfId="0" applyFont="1" applyAlignment="1">
      <alignment horizontal="center" vertical="center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tx>
            <c:v>adsorption kinetics copper 10ppm 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'copper 10ppm'!$A$9:$A$18</c:f>
              <c:numCache>
                <c:formatCode>General</c:formatCode>
                <c:ptCount val="10"/>
                <c:pt idx="0">
                  <c:v>15</c:v>
                </c:pt>
                <c:pt idx="1">
                  <c:v>20</c:v>
                </c:pt>
                <c:pt idx="2">
                  <c:v>30</c:v>
                </c:pt>
                <c:pt idx="3">
                  <c:v>60</c:v>
                </c:pt>
                <c:pt idx="4">
                  <c:v>120</c:v>
                </c:pt>
                <c:pt idx="5">
                  <c:v>240</c:v>
                </c:pt>
                <c:pt idx="6">
                  <c:v>420</c:v>
                </c:pt>
                <c:pt idx="7">
                  <c:v>720</c:v>
                </c:pt>
                <c:pt idx="8">
                  <c:v>1440</c:v>
                </c:pt>
                <c:pt idx="9">
                  <c:v>2880</c:v>
                </c:pt>
              </c:numCache>
            </c:numRef>
          </c:xVal>
          <c:yVal>
            <c:numRef>
              <c:f>'copper 10ppm'!$G$9:$G$18</c:f>
              <c:numCache>
                <c:formatCode>General</c:formatCode>
                <c:ptCount val="10"/>
                <c:pt idx="0">
                  <c:v>0.43333333333333329</c:v>
                </c:pt>
                <c:pt idx="1">
                  <c:v>0.4383333333333333</c:v>
                </c:pt>
                <c:pt idx="2">
                  <c:v>0.45333333333333331</c:v>
                </c:pt>
                <c:pt idx="3">
                  <c:v>0.45666666666666667</c:v>
                </c:pt>
                <c:pt idx="4">
                  <c:v>0.46166666666666673</c:v>
                </c:pt>
                <c:pt idx="5">
                  <c:v>0.47166666666666668</c:v>
                </c:pt>
                <c:pt idx="6">
                  <c:v>0.47999999999999993</c:v>
                </c:pt>
                <c:pt idx="7">
                  <c:v>0.48666666666666658</c:v>
                </c:pt>
                <c:pt idx="8">
                  <c:v>0.49166666666666664</c:v>
                </c:pt>
                <c:pt idx="9">
                  <c:v>0.49333333333333335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D72F-4967-A802-9E444ABB20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2280664"/>
        <c:axId val="202281056"/>
      </c:scatterChart>
      <c:valAx>
        <c:axId val="2022806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2281056"/>
        <c:crosses val="autoZero"/>
        <c:crossBetween val="midCat"/>
      </c:valAx>
      <c:valAx>
        <c:axId val="2022810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228066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psuedo second order 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1"/>
            <c:trendlineLbl>
              <c:layout>
                <c:manualLayout>
                  <c:x val="-6.5721566054243216E-2"/>
                  <c:y val="-2.1569699620880723E-3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>
                <c:manualLayout>
                  <c:x val="-0.16561045494313212"/>
                  <c:y val="9.5065252260134153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'copper 10ppm'!$A$9:$A$18</c:f>
              <c:numCache>
                <c:formatCode>General</c:formatCode>
                <c:ptCount val="10"/>
                <c:pt idx="0">
                  <c:v>15</c:v>
                </c:pt>
                <c:pt idx="1">
                  <c:v>20</c:v>
                </c:pt>
                <c:pt idx="2">
                  <c:v>30</c:v>
                </c:pt>
                <c:pt idx="3">
                  <c:v>60</c:v>
                </c:pt>
                <c:pt idx="4">
                  <c:v>120</c:v>
                </c:pt>
                <c:pt idx="5">
                  <c:v>240</c:v>
                </c:pt>
                <c:pt idx="6">
                  <c:v>420</c:v>
                </c:pt>
                <c:pt idx="7">
                  <c:v>720</c:v>
                </c:pt>
                <c:pt idx="8">
                  <c:v>1440</c:v>
                </c:pt>
                <c:pt idx="9">
                  <c:v>2880</c:v>
                </c:pt>
              </c:numCache>
            </c:numRef>
          </c:xVal>
          <c:yVal>
            <c:numRef>
              <c:f>'copper 10ppm'!$M$9:$M$18</c:f>
              <c:numCache>
                <c:formatCode>General</c:formatCode>
                <c:ptCount val="10"/>
                <c:pt idx="0">
                  <c:v>34.61538461538462</c:v>
                </c:pt>
                <c:pt idx="1">
                  <c:v>45.627376425855516</c:v>
                </c:pt>
                <c:pt idx="2">
                  <c:v>66.176470588235304</c:v>
                </c:pt>
                <c:pt idx="3">
                  <c:v>131.38686131386862</c:v>
                </c:pt>
                <c:pt idx="4">
                  <c:v>259.92779783393496</c:v>
                </c:pt>
                <c:pt idx="5">
                  <c:v>508.83392226148408</c:v>
                </c:pt>
                <c:pt idx="6">
                  <c:v>875.00000000000011</c:v>
                </c:pt>
                <c:pt idx="7">
                  <c:v>1479.4520547945208</c:v>
                </c:pt>
                <c:pt idx="8">
                  <c:v>2928.8135593220341</c:v>
                </c:pt>
                <c:pt idx="9">
                  <c:v>5837.8378378378375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925D-4281-84EA-124BB43320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4932448"/>
        <c:axId val="154935584"/>
      </c:scatterChart>
      <c:valAx>
        <c:axId val="1549324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4935584"/>
        <c:crosses val="autoZero"/>
        <c:crossBetween val="midCat"/>
      </c:valAx>
      <c:valAx>
        <c:axId val="1549355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493244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adsorption kinetics Pb(II)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tx>
            <c:v>adsorption kinetics Cr 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'lead 10ppm '!$A$9:$A$18</c:f>
              <c:numCache>
                <c:formatCode>General</c:formatCode>
                <c:ptCount val="10"/>
                <c:pt idx="0">
                  <c:v>15</c:v>
                </c:pt>
                <c:pt idx="1">
                  <c:v>20</c:v>
                </c:pt>
                <c:pt idx="2">
                  <c:v>30</c:v>
                </c:pt>
                <c:pt idx="3">
                  <c:v>60</c:v>
                </c:pt>
                <c:pt idx="4">
                  <c:v>120</c:v>
                </c:pt>
                <c:pt idx="5">
                  <c:v>240</c:v>
                </c:pt>
                <c:pt idx="6">
                  <c:v>420</c:v>
                </c:pt>
                <c:pt idx="7">
                  <c:v>720</c:v>
                </c:pt>
                <c:pt idx="8">
                  <c:v>1440</c:v>
                </c:pt>
                <c:pt idx="9">
                  <c:v>2880</c:v>
                </c:pt>
              </c:numCache>
            </c:numRef>
          </c:xVal>
          <c:yVal>
            <c:numRef>
              <c:f>'lead 10ppm '!$G$9:$G$18</c:f>
              <c:numCache>
                <c:formatCode>General</c:formatCode>
                <c:ptCount val="10"/>
                <c:pt idx="0">
                  <c:v>0.47062999999999994</c:v>
                </c:pt>
                <c:pt idx="1">
                  <c:v>0.47115166666666664</c:v>
                </c:pt>
                <c:pt idx="2">
                  <c:v>0.4718033333333333</c:v>
                </c:pt>
                <c:pt idx="3">
                  <c:v>0.47285500000000003</c:v>
                </c:pt>
                <c:pt idx="4">
                  <c:v>0.47321166666666664</c:v>
                </c:pt>
                <c:pt idx="5">
                  <c:v>0.47374666666666665</c:v>
                </c:pt>
                <c:pt idx="6">
                  <c:v>0.4743</c:v>
                </c:pt>
                <c:pt idx="7">
                  <c:v>0.47458499999999992</c:v>
                </c:pt>
                <c:pt idx="8">
                  <c:v>0.47474</c:v>
                </c:pt>
                <c:pt idx="9">
                  <c:v>0.4748633333333333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9CF4-4FE9-BCC8-462CBA86BE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18239280"/>
        <c:axId val="318244768"/>
      </c:scatterChart>
      <c:valAx>
        <c:axId val="3182392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18244768"/>
        <c:crosses val="autoZero"/>
        <c:crossBetween val="midCat"/>
      </c:valAx>
      <c:valAx>
        <c:axId val="318244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1823928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psuedo second order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pseduo seciond order </c:v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intercept val="0"/>
            <c:dispRSqr val="0"/>
            <c:dispEq val="1"/>
            <c:trendlineLbl>
              <c:layout>
                <c:manualLayout>
                  <c:x val="-8.2096675415573056E-2"/>
                  <c:y val="-1.334718576844561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>
                <c:manualLayout>
                  <c:x val="-0.12258267716535433"/>
                  <c:y val="6.9946412948381456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'lead 10ppm '!$A$9:$A$18</c:f>
              <c:numCache>
                <c:formatCode>General</c:formatCode>
                <c:ptCount val="10"/>
                <c:pt idx="0">
                  <c:v>15</c:v>
                </c:pt>
                <c:pt idx="1">
                  <c:v>20</c:v>
                </c:pt>
                <c:pt idx="2">
                  <c:v>30</c:v>
                </c:pt>
                <c:pt idx="3">
                  <c:v>60</c:v>
                </c:pt>
                <c:pt idx="4">
                  <c:v>120</c:v>
                </c:pt>
                <c:pt idx="5">
                  <c:v>240</c:v>
                </c:pt>
                <c:pt idx="6">
                  <c:v>420</c:v>
                </c:pt>
                <c:pt idx="7">
                  <c:v>720</c:v>
                </c:pt>
                <c:pt idx="8">
                  <c:v>1440</c:v>
                </c:pt>
                <c:pt idx="9">
                  <c:v>2880</c:v>
                </c:pt>
              </c:numCache>
            </c:numRef>
          </c:xVal>
          <c:yVal>
            <c:numRef>
              <c:f>'lead 10ppm '!$M$9:$M$18</c:f>
              <c:numCache>
                <c:formatCode>General</c:formatCode>
                <c:ptCount val="10"/>
                <c:pt idx="0">
                  <c:v>31.872171344793156</c:v>
                </c:pt>
                <c:pt idx="1">
                  <c:v>42.449175955371771</c:v>
                </c:pt>
                <c:pt idx="2">
                  <c:v>63.585816123949954</c:v>
                </c:pt>
                <c:pt idx="3">
                  <c:v>126.88879254739824</c:v>
                </c:pt>
                <c:pt idx="4">
                  <c:v>253.58630915693121</c:v>
                </c:pt>
                <c:pt idx="5">
                  <c:v>506.59987053558865</c:v>
                </c:pt>
                <c:pt idx="6">
                  <c:v>885.51549652118911</c:v>
                </c:pt>
                <c:pt idx="7">
                  <c:v>1517.1149530642565</c:v>
                </c:pt>
                <c:pt idx="8">
                  <c:v>3033.239246745587</c:v>
                </c:pt>
                <c:pt idx="9">
                  <c:v>6064.9028843386523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00D-453A-8112-06495707F8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18242808"/>
        <c:axId val="318242024"/>
      </c:scatterChart>
      <c:valAx>
        <c:axId val="3182428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18242024"/>
        <c:crosses val="autoZero"/>
        <c:crossBetween val="midCat"/>
      </c:valAx>
      <c:valAx>
        <c:axId val="3182420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1824280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4762</xdr:colOff>
      <xdr:row>26</xdr:row>
      <xdr:rowOff>152400</xdr:rowOff>
    </xdr:from>
    <xdr:to>
      <xdr:col>28</xdr:col>
      <xdr:colOff>309562</xdr:colOff>
      <xdr:row>43</xdr:row>
      <xdr:rowOff>104775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371475</xdr:colOff>
      <xdr:row>28</xdr:row>
      <xdr:rowOff>0</xdr:rowOff>
    </xdr:from>
    <xdr:to>
      <xdr:col>11</xdr:col>
      <xdr:colOff>676275</xdr:colOff>
      <xdr:row>44</xdr:row>
      <xdr:rowOff>114300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342900</xdr:colOff>
      <xdr:row>13</xdr:row>
      <xdr:rowOff>76200</xdr:rowOff>
    </xdr:from>
    <xdr:to>
      <xdr:col>29</xdr:col>
      <xdr:colOff>38100</xdr:colOff>
      <xdr:row>30</xdr:row>
      <xdr:rowOff>66675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552450</xdr:colOff>
      <xdr:row>25</xdr:row>
      <xdr:rowOff>114300</xdr:rowOff>
    </xdr:from>
    <xdr:to>
      <xdr:col>11</xdr:col>
      <xdr:colOff>857250</xdr:colOff>
      <xdr:row>42</xdr:row>
      <xdr:rowOff>104775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4"/>
  <sheetViews>
    <sheetView workbookViewId="0">
      <selection activeCell="J21" sqref="J21"/>
    </sheetView>
  </sheetViews>
  <sheetFormatPr defaultRowHeight="12.5" x14ac:dyDescent="0.25"/>
  <cols>
    <col min="9" max="9" width="10.81640625" bestFit="1" customWidth="1"/>
    <col min="10" max="10" width="9.1796875" customWidth="1"/>
    <col min="12" max="12" width="13.08984375" customWidth="1"/>
    <col min="18" max="18" width="9.1796875" customWidth="1"/>
  </cols>
  <sheetData>
    <row r="1" spans="1:21" x14ac:dyDescent="0.25">
      <c r="A1" t="s">
        <v>0</v>
      </c>
      <c r="B1">
        <v>10</v>
      </c>
      <c r="C1" t="s">
        <v>1</v>
      </c>
      <c r="D1" t="s">
        <v>2</v>
      </c>
      <c r="E1" s="2" t="s">
        <v>44</v>
      </c>
      <c r="F1" s="2"/>
      <c r="G1" s="2"/>
      <c r="H1" s="2"/>
      <c r="I1" s="2"/>
      <c r="J1" s="2"/>
      <c r="K1" s="2"/>
      <c r="L1" s="2"/>
    </row>
    <row r="2" spans="1:21" x14ac:dyDescent="0.25">
      <c r="A2" t="s">
        <v>3</v>
      </c>
      <c r="B2">
        <v>0.4</v>
      </c>
      <c r="C2" t="s">
        <v>4</v>
      </c>
      <c r="E2" s="2"/>
      <c r="F2" s="2" t="s">
        <v>22</v>
      </c>
      <c r="G2" s="2" t="s">
        <v>23</v>
      </c>
      <c r="H2" s="2" t="s">
        <v>42</v>
      </c>
      <c r="I2" s="2" t="s">
        <v>40</v>
      </c>
      <c r="J2" s="2" t="s">
        <v>33</v>
      </c>
      <c r="K2" s="2" t="s">
        <v>41</v>
      </c>
      <c r="L2" s="2" t="s">
        <v>43</v>
      </c>
    </row>
    <row r="3" spans="1:21" x14ac:dyDescent="0.25">
      <c r="A3" t="s">
        <v>5</v>
      </c>
      <c r="B3">
        <v>20</v>
      </c>
      <c r="C3" t="s">
        <v>6</v>
      </c>
      <c r="E3" s="2"/>
      <c r="F3" s="2">
        <v>587.63009999999997</v>
      </c>
      <c r="G3" s="2">
        <v>101.248</v>
      </c>
      <c r="H3" s="2">
        <f>1/G3</f>
        <v>9.876738305941846E-3</v>
      </c>
      <c r="I3" s="2">
        <f>H3*2</f>
        <v>1.9753476611883692E-2</v>
      </c>
      <c r="J3" s="2">
        <f>1/(F3*I3)</f>
        <v>8.6149433121278179E-2</v>
      </c>
      <c r="K3" s="2">
        <v>0.998</v>
      </c>
      <c r="L3" s="2">
        <v>9.8600000000000007E-3</v>
      </c>
    </row>
    <row r="4" spans="1:21" x14ac:dyDescent="0.25">
      <c r="B4">
        <f>B3/1000</f>
        <v>0.02</v>
      </c>
      <c r="C4" t="s">
        <v>7</v>
      </c>
      <c r="E4" s="2"/>
      <c r="F4" s="2"/>
      <c r="G4" s="2"/>
      <c r="H4" s="2"/>
      <c r="I4" s="2"/>
      <c r="J4" s="2"/>
      <c r="K4" s="2"/>
      <c r="L4" s="2"/>
    </row>
    <row r="6" spans="1:21" x14ac:dyDescent="0.25">
      <c r="E6" t="s">
        <v>28</v>
      </c>
      <c r="Q6" t="s">
        <v>35</v>
      </c>
      <c r="T6">
        <v>9.8666666666666677E-3</v>
      </c>
      <c r="U6">
        <v>98.666666666666671</v>
      </c>
    </row>
    <row r="7" spans="1:21" x14ac:dyDescent="0.25">
      <c r="A7" t="s">
        <v>8</v>
      </c>
      <c r="B7" s="5" t="s">
        <v>9</v>
      </c>
      <c r="C7" s="5"/>
      <c r="D7" s="5"/>
      <c r="E7" s="5" t="s">
        <v>10</v>
      </c>
      <c r="F7" s="5" t="s">
        <v>11</v>
      </c>
      <c r="G7" s="6" t="s">
        <v>12</v>
      </c>
      <c r="T7">
        <f>U7*$T$6/$U$6</f>
        <v>1.0500000000000001E-2</v>
      </c>
      <c r="U7">
        <v>105</v>
      </c>
    </row>
    <row r="8" spans="1:21" x14ac:dyDescent="0.25">
      <c r="A8" t="s">
        <v>13</v>
      </c>
      <c r="B8">
        <v>1</v>
      </c>
      <c r="C8">
        <v>2</v>
      </c>
      <c r="D8">
        <v>3</v>
      </c>
      <c r="E8" s="5"/>
      <c r="F8" s="5"/>
      <c r="G8" s="6"/>
      <c r="H8" t="s">
        <v>14</v>
      </c>
      <c r="I8" t="s">
        <v>39</v>
      </c>
      <c r="J8" t="s">
        <v>15</v>
      </c>
      <c r="K8" t="s">
        <v>16</v>
      </c>
      <c r="L8" t="s">
        <v>17</v>
      </c>
      <c r="M8" t="s">
        <v>18</v>
      </c>
      <c r="N8" t="s">
        <v>19</v>
      </c>
      <c r="O8" t="s">
        <v>20</v>
      </c>
      <c r="T8">
        <f t="shared" ref="T8:T11" si="0">U8*$T$6/$U$6</f>
        <v>-5.0000000000000001E-4</v>
      </c>
      <c r="U8">
        <v>-5</v>
      </c>
    </row>
    <row r="9" spans="1:21" x14ac:dyDescent="0.25">
      <c r="A9">
        <v>15</v>
      </c>
      <c r="B9">
        <v>1.2</v>
      </c>
      <c r="C9">
        <v>1.4</v>
      </c>
      <c r="D9">
        <v>1.4</v>
      </c>
      <c r="E9">
        <f>AVERAGE(B9:D9)</f>
        <v>1.3333333333333333</v>
      </c>
      <c r="F9">
        <f>STDEV(B9:D9)</f>
        <v>0.11547005383792512</v>
      </c>
      <c r="G9" s="3">
        <f>(($B$1-E9)/$B$2)*$B$4</f>
        <v>0.43333333333333329</v>
      </c>
      <c r="H9">
        <f>(($B$1-E9)/$B$1)*100</f>
        <v>86.666666666666657</v>
      </c>
      <c r="I9">
        <f>F9/E9*10</f>
        <v>0.86602540378443849</v>
      </c>
      <c r="J9">
        <f>ABS(LOG(E9-G9))</f>
        <v>4.5757490560675171E-2</v>
      </c>
      <c r="K9">
        <f>ABS(LOG(E9))</f>
        <v>0.12493873660829993</v>
      </c>
      <c r="L9">
        <f>ABS(LOG(K9/2.303))</f>
        <v>1.2655968279567413</v>
      </c>
      <c r="M9">
        <f>A9/G9</f>
        <v>34.61538461538462</v>
      </c>
      <c r="N9">
        <f>1/E9*2</f>
        <v>1.5</v>
      </c>
      <c r="O9">
        <f>1/E9</f>
        <v>0.75</v>
      </c>
      <c r="Q9">
        <f>($R$43*($R$42^2)*A9)/(1+($R$43*A9*$R$42))</f>
        <v>0.34219503912004207</v>
      </c>
      <c r="T9">
        <f t="shared" si="0"/>
        <v>2E-3</v>
      </c>
      <c r="U9">
        <v>20</v>
      </c>
    </row>
    <row r="10" spans="1:21" x14ac:dyDescent="0.25">
      <c r="A10">
        <v>20</v>
      </c>
      <c r="B10">
        <v>1.2</v>
      </c>
      <c r="C10">
        <v>1.2</v>
      </c>
      <c r="D10">
        <v>1.3</v>
      </c>
      <c r="E10">
        <f t="shared" ref="E10:E18" si="1">AVERAGE(B10:D10)</f>
        <v>1.2333333333333334</v>
      </c>
      <c r="F10">
        <f t="shared" ref="F10:F18" si="2">STDEV(B10:D10)</f>
        <v>5.773502691896263E-2</v>
      </c>
      <c r="G10" s="3">
        <f t="shared" ref="G10:G18" si="3">(($B$1-E10)/$B$2)*$B$4</f>
        <v>0.4383333333333333</v>
      </c>
      <c r="H10">
        <f t="shared" ref="H10:H18" si="4">(($B$1-E10)/$B$1)*100</f>
        <v>87.666666666666657</v>
      </c>
      <c r="I10">
        <f t="shared" ref="I10:I18" si="5">F10/E10*10</f>
        <v>0.46812183988348077</v>
      </c>
      <c r="J10">
        <f t="shared" ref="J10:J18" si="6">ABS(LOG(E10-G10))</f>
        <v>9.9632871343529633E-2</v>
      </c>
      <c r="K10">
        <f t="shared" ref="K10:K18" si="7">ABS(LOG(E10))</f>
        <v>9.1080469347332577E-2</v>
      </c>
      <c r="L10">
        <f t="shared" ref="L10:L18" si="8">ABS(LOG(K10/2.303))</f>
        <v>1.4028686780497663</v>
      </c>
      <c r="M10">
        <f t="shared" ref="M10:M18" si="9">A10/G10</f>
        <v>45.627376425855516</v>
      </c>
      <c r="N10">
        <f>1/E10*2</f>
        <v>1.6216216216216215</v>
      </c>
      <c r="O10">
        <f t="shared" ref="O10:O18" si="10">1/E10</f>
        <v>0.81081081081081074</v>
      </c>
      <c r="Q10">
        <f t="shared" ref="Q10:Q18" si="11">($R$43*($R$42^2)*A10)/(1+($R$43*A10*$R$42))</f>
        <v>0.37068021888893715</v>
      </c>
      <c r="T10">
        <f t="shared" si="0"/>
        <v>6.0000000000000001E-3</v>
      </c>
      <c r="U10">
        <v>60</v>
      </c>
    </row>
    <row r="11" spans="1:21" x14ac:dyDescent="0.25">
      <c r="A11">
        <v>30</v>
      </c>
      <c r="B11">
        <v>1.1000000000000001</v>
      </c>
      <c r="C11">
        <v>0.9</v>
      </c>
      <c r="D11">
        <v>0.8</v>
      </c>
      <c r="E11">
        <f t="shared" si="1"/>
        <v>0.93333333333333324</v>
      </c>
      <c r="F11">
        <f t="shared" si="2"/>
        <v>0.15275252316519644</v>
      </c>
      <c r="G11" s="3">
        <f t="shared" si="3"/>
        <v>0.45333333333333331</v>
      </c>
      <c r="H11">
        <f t="shared" si="4"/>
        <v>90.666666666666657</v>
      </c>
      <c r="I11">
        <f t="shared" si="5"/>
        <v>1.6366341767699621</v>
      </c>
      <c r="J11">
        <f t="shared" si="6"/>
        <v>0.31875876262441283</v>
      </c>
      <c r="K11">
        <f t="shared" si="7"/>
        <v>2.9963223377443261E-2</v>
      </c>
      <c r="L11">
        <f t="shared" si="8"/>
        <v>1.8857054059816891</v>
      </c>
      <c r="M11">
        <f t="shared" si="9"/>
        <v>66.176470588235304</v>
      </c>
      <c r="N11">
        <f>1/E11*2</f>
        <v>2.1428571428571432</v>
      </c>
      <c r="O11">
        <f t="shared" si="10"/>
        <v>1.0714285714285716</v>
      </c>
      <c r="Q11">
        <f t="shared" si="11"/>
        <v>0.40433836624096481</v>
      </c>
      <c r="T11">
        <f t="shared" si="0"/>
        <v>1E-3</v>
      </c>
      <c r="U11">
        <v>10</v>
      </c>
    </row>
    <row r="12" spans="1:21" x14ac:dyDescent="0.25">
      <c r="A12">
        <v>60</v>
      </c>
      <c r="B12">
        <v>1</v>
      </c>
      <c r="C12">
        <v>0.8</v>
      </c>
      <c r="D12">
        <v>0.8</v>
      </c>
      <c r="E12">
        <f t="shared" si="1"/>
        <v>0.8666666666666667</v>
      </c>
      <c r="F12">
        <f t="shared" si="2"/>
        <v>0.11547005383792552</v>
      </c>
      <c r="G12" s="3">
        <f t="shared" si="3"/>
        <v>0.45666666666666667</v>
      </c>
      <c r="H12">
        <f t="shared" si="4"/>
        <v>91.333333333333329</v>
      </c>
      <c r="I12">
        <f t="shared" si="5"/>
        <v>1.3323467750529869</v>
      </c>
      <c r="J12">
        <f t="shared" si="6"/>
        <v>0.38721614328026449</v>
      </c>
      <c r="K12">
        <f t="shared" si="7"/>
        <v>6.2147906748844461E-2</v>
      </c>
      <c r="L12">
        <f t="shared" si="8"/>
        <v>1.568867432544665</v>
      </c>
      <c r="M12">
        <f t="shared" si="9"/>
        <v>131.38686131386862</v>
      </c>
      <c r="N12">
        <f t="shared" ref="N12:N18" si="12">1/E12*2</f>
        <v>2.3076923076923075</v>
      </c>
      <c r="O12">
        <f t="shared" si="10"/>
        <v>1.1538461538461537</v>
      </c>
      <c r="Q12">
        <f t="shared" si="11"/>
        <v>0.44471934262317797</v>
      </c>
    </row>
    <row r="13" spans="1:21" x14ac:dyDescent="0.25">
      <c r="A13">
        <v>120</v>
      </c>
      <c r="B13">
        <v>0.8</v>
      </c>
      <c r="C13">
        <v>0.7</v>
      </c>
      <c r="D13">
        <v>0.8</v>
      </c>
      <c r="E13">
        <f t="shared" si="1"/>
        <v>0.76666666666666661</v>
      </c>
      <c r="F13">
        <f t="shared" si="2"/>
        <v>5.773502691896263E-2</v>
      </c>
      <c r="G13" s="3">
        <f t="shared" si="3"/>
        <v>0.46166666666666673</v>
      </c>
      <c r="H13">
        <f t="shared" si="4"/>
        <v>92.333333333333343</v>
      </c>
      <c r="I13">
        <f t="shared" si="5"/>
        <v>0.75306556850820827</v>
      </c>
      <c r="J13">
        <f t="shared" si="6"/>
        <v>0.51570016065321433</v>
      </c>
      <c r="K13">
        <f t="shared" si="7"/>
        <v>0.11539341870206959</v>
      </c>
      <c r="L13">
        <f t="shared" si="8"/>
        <v>1.30011289780033</v>
      </c>
      <c r="M13">
        <f t="shared" si="9"/>
        <v>259.92779783393496</v>
      </c>
      <c r="N13">
        <f t="shared" si="12"/>
        <v>2.6086956521739131</v>
      </c>
      <c r="O13">
        <f t="shared" si="10"/>
        <v>1.3043478260869565</v>
      </c>
      <c r="Q13">
        <f t="shared" si="11"/>
        <v>0.46809341586073616</v>
      </c>
    </row>
    <row r="14" spans="1:21" x14ac:dyDescent="0.25">
      <c r="A14">
        <v>240</v>
      </c>
      <c r="B14">
        <v>0.5</v>
      </c>
      <c r="C14">
        <v>0.6</v>
      </c>
      <c r="D14">
        <v>0.6</v>
      </c>
      <c r="E14">
        <f t="shared" si="1"/>
        <v>0.56666666666666676</v>
      </c>
      <c r="F14">
        <f t="shared" si="2"/>
        <v>5.7735026918962568E-2</v>
      </c>
      <c r="G14" s="3">
        <f t="shared" si="3"/>
        <v>0.47166666666666668</v>
      </c>
      <c r="H14">
        <f t="shared" si="4"/>
        <v>94.333333333333343</v>
      </c>
      <c r="I14">
        <f t="shared" si="5"/>
        <v>1.0188534162169862</v>
      </c>
      <c r="J14">
        <f t="shared" si="6"/>
        <v>1.0222763947111519</v>
      </c>
      <c r="K14">
        <f t="shared" si="7"/>
        <v>0.24667233334138844</v>
      </c>
      <c r="L14">
        <f t="shared" si="8"/>
        <v>0.97017349601793967</v>
      </c>
      <c r="M14">
        <f t="shared" si="9"/>
        <v>508.83392226148408</v>
      </c>
      <c r="N14">
        <f>1/E14*2</f>
        <v>3.5294117647058818</v>
      </c>
      <c r="O14">
        <f t="shared" si="10"/>
        <v>1.7647058823529409</v>
      </c>
      <c r="Q14">
        <f t="shared" si="11"/>
        <v>0.48072671092052377</v>
      </c>
    </row>
    <row r="15" spans="1:21" x14ac:dyDescent="0.25">
      <c r="A15">
        <v>420</v>
      </c>
      <c r="B15">
        <v>0.4</v>
      </c>
      <c r="C15">
        <v>0.4</v>
      </c>
      <c r="D15">
        <v>0.4</v>
      </c>
      <c r="E15">
        <f>AVERAGE(B15:D15)</f>
        <v>0.40000000000000008</v>
      </c>
      <c r="F15">
        <f t="shared" si="2"/>
        <v>6.7986997775525911E-17</v>
      </c>
      <c r="G15" s="3">
        <f t="shared" si="3"/>
        <v>0.47999999999999993</v>
      </c>
      <c r="H15">
        <f t="shared" si="4"/>
        <v>96</v>
      </c>
      <c r="I15">
        <f t="shared" si="5"/>
        <v>1.6996749443881474E-15</v>
      </c>
      <c r="J15" t="e">
        <f t="shared" si="6"/>
        <v>#NUM!</v>
      </c>
      <c r="K15">
        <f t="shared" si="7"/>
        <v>0.39794000867203755</v>
      </c>
      <c r="L15">
        <f t="shared" si="8"/>
        <v>0.76247633289172834</v>
      </c>
      <c r="M15">
        <f t="shared" si="9"/>
        <v>875.00000000000011</v>
      </c>
      <c r="N15">
        <f>1/E15*2</f>
        <v>4.9999999999999991</v>
      </c>
      <c r="O15">
        <f t="shared" si="10"/>
        <v>2.4999999999999996</v>
      </c>
      <c r="Q15">
        <f t="shared" si="11"/>
        <v>0.48635217274971682</v>
      </c>
    </row>
    <row r="16" spans="1:21" x14ac:dyDescent="0.25">
      <c r="A16">
        <v>720</v>
      </c>
      <c r="B16">
        <v>0.3</v>
      </c>
      <c r="C16">
        <v>0.3</v>
      </c>
      <c r="D16">
        <v>0.2</v>
      </c>
      <c r="E16">
        <f t="shared" si="1"/>
        <v>0.26666666666666666</v>
      </c>
      <c r="F16">
        <f t="shared" si="2"/>
        <v>5.7735026918962401E-2</v>
      </c>
      <c r="G16" s="3">
        <f t="shared" si="3"/>
        <v>0.48666666666666658</v>
      </c>
      <c r="H16">
        <f t="shared" si="4"/>
        <v>97.333333333333329</v>
      </c>
      <c r="I16">
        <f t="shared" si="5"/>
        <v>2.1650635094610902</v>
      </c>
      <c r="J16" t="e">
        <f t="shared" si="6"/>
        <v>#NUM!</v>
      </c>
      <c r="K16">
        <f t="shared" si="7"/>
        <v>0.57403126772771884</v>
      </c>
      <c r="L16">
        <f t="shared" si="8"/>
        <v>0.60335838871649217</v>
      </c>
      <c r="M16">
        <f t="shared" si="9"/>
        <v>1479.4520547945208</v>
      </c>
      <c r="N16">
        <f>1/E16*2</f>
        <v>7.5</v>
      </c>
      <c r="O16">
        <f t="shared" si="10"/>
        <v>3.75</v>
      </c>
      <c r="Q16">
        <f t="shared" si="11"/>
        <v>0.48953469095656599</v>
      </c>
    </row>
    <row r="17" spans="1:19" x14ac:dyDescent="0.25">
      <c r="A17">
        <v>1440</v>
      </c>
      <c r="B17">
        <v>0.2</v>
      </c>
      <c r="C17">
        <v>0.2</v>
      </c>
      <c r="D17">
        <v>0.1</v>
      </c>
      <c r="E17">
        <f>AVERAGE(B17:D17)</f>
        <v>0.16666666666666666</v>
      </c>
      <c r="F17">
        <f t="shared" si="2"/>
        <v>5.7735026918962699E-2</v>
      </c>
      <c r="G17" s="3">
        <f t="shared" si="3"/>
        <v>0.49166666666666664</v>
      </c>
      <c r="H17">
        <f t="shared" si="4"/>
        <v>98.333333333333343</v>
      </c>
      <c r="I17">
        <f t="shared" si="5"/>
        <v>3.4641016151377624</v>
      </c>
      <c r="J17" t="e">
        <f t="shared" si="6"/>
        <v>#NUM!</v>
      </c>
      <c r="K17">
        <f t="shared" si="7"/>
        <v>0.77815125038364363</v>
      </c>
      <c r="L17">
        <f t="shared" si="8"/>
        <v>0.47122991832321853</v>
      </c>
      <c r="M17">
        <f t="shared" si="9"/>
        <v>2928.8135593220341</v>
      </c>
      <c r="N17">
        <f>1/E17*2</f>
        <v>12</v>
      </c>
      <c r="O17">
        <f t="shared" si="10"/>
        <v>6</v>
      </c>
      <c r="Q17">
        <f t="shared" si="11"/>
        <v>0.49178734982742611</v>
      </c>
    </row>
    <row r="18" spans="1:19" x14ac:dyDescent="0.25">
      <c r="A18">
        <v>2880</v>
      </c>
      <c r="B18">
        <v>0.2</v>
      </c>
      <c r="C18">
        <v>0.1</v>
      </c>
      <c r="D18">
        <v>0.1</v>
      </c>
      <c r="E18">
        <f t="shared" si="1"/>
        <v>0.13333333333333333</v>
      </c>
      <c r="F18">
        <f t="shared" si="2"/>
        <v>5.7735026918962581E-2</v>
      </c>
      <c r="G18" s="3">
        <f t="shared" si="3"/>
        <v>0.49333333333333335</v>
      </c>
      <c r="H18">
        <f t="shared" si="4"/>
        <v>98.666666666666671</v>
      </c>
      <c r="I18">
        <f t="shared" si="5"/>
        <v>4.3301270189221936</v>
      </c>
      <c r="J18" t="e">
        <f t="shared" si="6"/>
        <v>#NUM!</v>
      </c>
      <c r="K18">
        <f t="shared" si="7"/>
        <v>0.87506126339170009</v>
      </c>
      <c r="L18">
        <f t="shared" si="8"/>
        <v>0.42025547874583152</v>
      </c>
      <c r="M18">
        <f t="shared" si="9"/>
        <v>5837.8378378378375</v>
      </c>
      <c r="N18">
        <f t="shared" si="12"/>
        <v>15</v>
      </c>
      <c r="O18">
        <f t="shared" si="10"/>
        <v>7.5</v>
      </c>
      <c r="Q18">
        <f t="shared" si="11"/>
        <v>0.49292147162328892</v>
      </c>
    </row>
    <row r="27" spans="1:19" x14ac:dyDescent="0.25">
      <c r="R27" t="s">
        <v>18</v>
      </c>
      <c r="S27" t="s">
        <v>21</v>
      </c>
    </row>
    <row r="28" spans="1:19" x14ac:dyDescent="0.25">
      <c r="R28">
        <f>A9/G9</f>
        <v>34.61538461538462</v>
      </c>
      <c r="S28">
        <v>15</v>
      </c>
    </row>
    <row r="29" spans="1:19" x14ac:dyDescent="0.25">
      <c r="R29">
        <f t="shared" ref="R29:R37" si="13">A10/G10</f>
        <v>45.627376425855516</v>
      </c>
      <c r="S29">
        <v>20</v>
      </c>
    </row>
    <row r="30" spans="1:19" x14ac:dyDescent="0.25">
      <c r="R30">
        <f t="shared" si="13"/>
        <v>66.176470588235304</v>
      </c>
      <c r="S30">
        <v>30</v>
      </c>
    </row>
    <row r="31" spans="1:19" x14ac:dyDescent="0.25">
      <c r="R31">
        <f t="shared" si="13"/>
        <v>131.38686131386862</v>
      </c>
      <c r="S31">
        <v>60</v>
      </c>
    </row>
    <row r="32" spans="1:19" x14ac:dyDescent="0.25">
      <c r="R32">
        <f t="shared" si="13"/>
        <v>259.92779783393496</v>
      </c>
      <c r="S32">
        <v>120</v>
      </c>
    </row>
    <row r="33" spans="17:19" x14ac:dyDescent="0.25">
      <c r="R33">
        <f t="shared" si="13"/>
        <v>508.83392226148408</v>
      </c>
      <c r="S33">
        <v>240</v>
      </c>
    </row>
    <row r="34" spans="17:19" x14ac:dyDescent="0.25">
      <c r="R34">
        <f t="shared" si="13"/>
        <v>875.00000000000011</v>
      </c>
      <c r="S34">
        <v>420</v>
      </c>
    </row>
    <row r="35" spans="17:19" x14ac:dyDescent="0.25">
      <c r="R35">
        <f t="shared" si="13"/>
        <v>1479.4520547945208</v>
      </c>
      <c r="S35">
        <v>720</v>
      </c>
    </row>
    <row r="36" spans="17:19" x14ac:dyDescent="0.25">
      <c r="R36">
        <f t="shared" si="13"/>
        <v>2928.8135593220341</v>
      </c>
      <c r="S36">
        <v>1440</v>
      </c>
    </row>
    <row r="37" spans="17:19" x14ac:dyDescent="0.25">
      <c r="R37">
        <f t="shared" si="13"/>
        <v>5837.8378378378375</v>
      </c>
      <c r="S37">
        <v>2880</v>
      </c>
    </row>
    <row r="39" spans="17:19" x14ac:dyDescent="0.25">
      <c r="Q39" t="s">
        <v>22</v>
      </c>
      <c r="R39">
        <f>INTERCEPT(R28:R37,S28:S37)</f>
        <v>13.4740171257572</v>
      </c>
    </row>
    <row r="40" spans="17:19" x14ac:dyDescent="0.25">
      <c r="Q40" t="s">
        <v>23</v>
      </c>
      <c r="R40">
        <f>SLOPE(R28:R37,S28:S37)</f>
        <v>2.0240422361203674</v>
      </c>
    </row>
    <row r="41" spans="17:19" ht="14.5" x14ac:dyDescent="0.25">
      <c r="Q41" t="s">
        <v>26</v>
      </c>
      <c r="R41">
        <f>RSQ(R28:R37,S28:S37)</f>
        <v>0.99998184005346658</v>
      </c>
    </row>
    <row r="42" spans="17:19" x14ac:dyDescent="0.25">
      <c r="Q42" t="s">
        <v>24</v>
      </c>
      <c r="R42">
        <f>1/R40</f>
        <v>0.49406083635723658</v>
      </c>
    </row>
    <row r="43" spans="17:19" ht="14.5" x14ac:dyDescent="0.25">
      <c r="Q43" t="s">
        <v>27</v>
      </c>
      <c r="R43">
        <f>(R40^2)/R39</f>
        <v>0.3040479268627107</v>
      </c>
    </row>
    <row r="44" spans="17:19" x14ac:dyDescent="0.25">
      <c r="Q44" t="s">
        <v>25</v>
      </c>
      <c r="R44">
        <f>1/R39</f>
        <v>7.4216916207444916E-2</v>
      </c>
    </row>
  </sheetData>
  <mergeCells count="4">
    <mergeCell ref="B7:D7"/>
    <mergeCell ref="E7:E8"/>
    <mergeCell ref="F7:F8"/>
    <mergeCell ref="G7:G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292AEC-B06D-41FA-B51C-C9989CB39D93}">
  <dimension ref="A1:U18"/>
  <sheetViews>
    <sheetView workbookViewId="0">
      <selection activeCell="R28" sqref="R28"/>
    </sheetView>
  </sheetViews>
  <sheetFormatPr defaultRowHeight="12.5" x14ac:dyDescent="0.25"/>
  <sheetData>
    <row r="1" spans="1:21" x14ac:dyDescent="0.25">
      <c r="A1" t="s">
        <v>0</v>
      </c>
      <c r="B1">
        <v>100</v>
      </c>
      <c r="C1" t="s">
        <v>1</v>
      </c>
      <c r="D1" t="s">
        <v>2</v>
      </c>
      <c r="E1" t="s">
        <v>48</v>
      </c>
    </row>
    <row r="2" spans="1:21" x14ac:dyDescent="0.25">
      <c r="A2" t="s">
        <v>3</v>
      </c>
      <c r="B2">
        <v>0.4</v>
      </c>
      <c r="C2" t="s">
        <v>4</v>
      </c>
      <c r="J2" s="3" t="s">
        <v>22</v>
      </c>
      <c r="K2" s="3" t="s">
        <v>23</v>
      </c>
      <c r="L2" s="3" t="s">
        <v>49</v>
      </c>
      <c r="M2" s="3" t="s">
        <v>40</v>
      </c>
      <c r="N2" s="3" t="s">
        <v>33</v>
      </c>
      <c r="O2" s="3" t="s">
        <v>45</v>
      </c>
      <c r="P2" s="3" t="s">
        <v>25</v>
      </c>
    </row>
    <row r="3" spans="1:21" x14ac:dyDescent="0.25">
      <c r="A3" t="s">
        <v>5</v>
      </c>
      <c r="B3">
        <v>20</v>
      </c>
      <c r="C3" t="s">
        <v>6</v>
      </c>
      <c r="J3" s="3">
        <v>179.398</v>
      </c>
      <c r="K3" s="3">
        <v>13.308059999999999</v>
      </c>
      <c r="L3" s="3">
        <f>1/K3</f>
        <v>7.5142432480767296E-2</v>
      </c>
      <c r="M3" s="3">
        <f>L3*2</f>
        <v>0.15028486496153459</v>
      </c>
      <c r="N3" s="3">
        <f>1/(J3*M3)</f>
        <v>3.7090881726663617E-2</v>
      </c>
      <c r="O3" s="7" t="s">
        <v>50</v>
      </c>
      <c r="P3" s="3">
        <f>1/J3</f>
        <v>5.5741981515958928E-3</v>
      </c>
    </row>
    <row r="4" spans="1:21" x14ac:dyDescent="0.25">
      <c r="B4">
        <f>B3/1000</f>
        <v>0.02</v>
      </c>
      <c r="C4" t="s">
        <v>7</v>
      </c>
      <c r="J4" s="3"/>
      <c r="K4" s="3"/>
      <c r="L4" s="3"/>
      <c r="M4" s="3"/>
      <c r="N4" s="3"/>
      <c r="O4" s="3"/>
      <c r="P4" s="3"/>
    </row>
    <row r="6" spans="1:21" x14ac:dyDescent="0.25">
      <c r="E6" t="s">
        <v>51</v>
      </c>
      <c r="Q6" t="s">
        <v>35</v>
      </c>
      <c r="T6">
        <f t="shared" ref="T6" si="0">(($B$1-R6)/$B$3)*$B$4</f>
        <v>0.1</v>
      </c>
      <c r="U6">
        <f>(($B$1-R6)/$B$1)*100</f>
        <v>100</v>
      </c>
    </row>
    <row r="7" spans="1:21" x14ac:dyDescent="0.25">
      <c r="A7" t="s">
        <v>8</v>
      </c>
      <c r="B7" s="5" t="s">
        <v>9</v>
      </c>
      <c r="C7" s="5"/>
      <c r="D7" s="5"/>
      <c r="E7" s="5" t="s">
        <v>10</v>
      </c>
      <c r="F7" s="5" t="s">
        <v>11</v>
      </c>
      <c r="G7" s="5" t="s">
        <v>12</v>
      </c>
      <c r="H7" s="4"/>
      <c r="T7">
        <f>U7*$T$6/$U$6</f>
        <v>0.105</v>
      </c>
      <c r="U7">
        <v>105</v>
      </c>
    </row>
    <row r="8" spans="1:21" x14ac:dyDescent="0.25">
      <c r="A8" t="s">
        <v>13</v>
      </c>
      <c r="B8">
        <v>1</v>
      </c>
      <c r="C8">
        <v>2</v>
      </c>
      <c r="D8">
        <v>3</v>
      </c>
      <c r="E8" s="5"/>
      <c r="F8" s="5"/>
      <c r="G8" s="5"/>
      <c r="H8" s="4" t="s">
        <v>47</v>
      </c>
      <c r="I8" t="s">
        <v>14</v>
      </c>
      <c r="J8" t="s">
        <v>15</v>
      </c>
      <c r="K8" t="s">
        <v>16</v>
      </c>
      <c r="L8" t="s">
        <v>17</v>
      </c>
      <c r="M8" t="s">
        <v>18</v>
      </c>
      <c r="N8" t="s">
        <v>19</v>
      </c>
      <c r="O8" t="s">
        <v>20</v>
      </c>
      <c r="T8">
        <f>U8*$T$6/$U$6</f>
        <v>-5.0000000000000001E-3</v>
      </c>
      <c r="U8">
        <v>-5</v>
      </c>
    </row>
    <row r="9" spans="1:21" x14ac:dyDescent="0.25">
      <c r="A9">
        <v>15</v>
      </c>
      <c r="B9">
        <v>50.021000000000001</v>
      </c>
      <c r="C9">
        <v>50.01</v>
      </c>
      <c r="D9">
        <v>51.232999999999997</v>
      </c>
      <c r="E9">
        <f>AVERAGE(B9:D9)</f>
        <v>50.421333333333337</v>
      </c>
      <c r="F9">
        <f>STDEV(B9:D9)</f>
        <v>0.70294546967267058</v>
      </c>
      <c r="G9" s="3">
        <f>(($B$1-E9)/$B$2)*$B$4</f>
        <v>2.4789333333333334</v>
      </c>
      <c r="H9">
        <f>10*F9/E9*G9</f>
        <v>0.3455987458259544</v>
      </c>
      <c r="I9">
        <f>(($B$1-E9)/$B$1)*100</f>
        <v>49.578666666666663</v>
      </c>
      <c r="J9">
        <f>LOG(E9-G9)</f>
        <v>1.6807197710548973</v>
      </c>
      <c r="K9">
        <f>LOG(E9)</f>
        <v>1.7026143259031574</v>
      </c>
      <c r="L9">
        <f>ABS(LOG(K9/2.303))</f>
        <v>0.13117765471164075</v>
      </c>
      <c r="M9">
        <f>A9/G9</f>
        <v>6.0509896729776242</v>
      </c>
      <c r="N9">
        <f>1/E9*2</f>
        <v>3.9665749947112333E-2</v>
      </c>
      <c r="O9">
        <f>1/E9</f>
        <v>1.9832874973556167E-2</v>
      </c>
      <c r="Q9">
        <f>($R$43*($R$42^2)*A9)/(1+($R$43*A9*$R$42))</f>
        <v>0</v>
      </c>
      <c r="T9">
        <f>U9*$T$6/$U$6</f>
        <v>0.02</v>
      </c>
      <c r="U9">
        <v>20</v>
      </c>
    </row>
    <row r="10" spans="1:21" x14ac:dyDescent="0.25">
      <c r="A10">
        <v>20</v>
      </c>
      <c r="B10">
        <v>48.100999999999999</v>
      </c>
      <c r="C10">
        <v>48.231000000000002</v>
      </c>
      <c r="D10">
        <v>48.533999999999999</v>
      </c>
      <c r="E10">
        <f t="shared" ref="E10:E18" si="1">AVERAGE(B10:D10)</f>
        <v>48.288666666666664</v>
      </c>
      <c r="F10">
        <f>STDEV(B10:D10)</f>
        <v>0.22218535805343509</v>
      </c>
      <c r="G10" s="3">
        <f t="shared" ref="G10:G18" si="2">(($B$1-E10)/$B$2)*$B$4</f>
        <v>2.5855666666666668</v>
      </c>
      <c r="H10">
        <f>F10/E10*G10</f>
        <v>1.1896684983454227E-2</v>
      </c>
      <c r="I10">
        <f t="shared" ref="I10:I15" si="3">(($B$1-E10)/$B$1)*100</f>
        <v>51.711333333333329</v>
      </c>
      <c r="J10">
        <f t="shared" ref="J10:J18" si="4">LOG(E10-G10)</f>
        <v>1.6599456588714536</v>
      </c>
      <c r="K10">
        <f t="shared" ref="K10:K18" si="5">LOG(E10)</f>
        <v>1.6838452139465558</v>
      </c>
      <c r="L10">
        <f t="shared" ref="L10:L18" si="6">ABS(LOG(K10/2.303))</f>
        <v>0.1359917711203677</v>
      </c>
      <c r="M10">
        <f t="shared" ref="M10:M18" si="7">A10/G10</f>
        <v>7.7352482370080056</v>
      </c>
      <c r="N10">
        <f t="shared" ref="N10:N18" si="8">1/E10*2</f>
        <v>4.1417585906976105E-2</v>
      </c>
      <c r="O10">
        <f t="shared" ref="O10:O18" si="9">1/E10</f>
        <v>2.0708792953488053E-2</v>
      </c>
      <c r="Q10">
        <f t="shared" ref="Q10:Q18" si="10">($R$43*($R$42^2)*A10)/(1+($R$43*A10*$R$42))</f>
        <v>0</v>
      </c>
      <c r="T10">
        <f>U10*$T$6/$U$6</f>
        <v>0.06</v>
      </c>
      <c r="U10">
        <v>60</v>
      </c>
    </row>
    <row r="11" spans="1:21" x14ac:dyDescent="0.25">
      <c r="A11">
        <v>30</v>
      </c>
      <c r="B11">
        <v>38.088999999999999</v>
      </c>
      <c r="C11">
        <v>39.899000000000001</v>
      </c>
      <c r="D11">
        <v>38.9</v>
      </c>
      <c r="E11">
        <f t="shared" si="1"/>
        <v>38.962666666666671</v>
      </c>
      <c r="F11">
        <f t="shared" ref="F11:F18" si="11">STDEV(B11:D11)</f>
        <v>0.90662579564742996</v>
      </c>
      <c r="G11" s="3">
        <f t="shared" si="2"/>
        <v>3.0518666666666663</v>
      </c>
      <c r="H11">
        <f t="shared" ref="H11:H18" si="12">F11/E11*G11</f>
        <v>7.1014160004701996E-2</v>
      </c>
      <c r="I11">
        <f t="shared" si="3"/>
        <v>61.037333333333329</v>
      </c>
      <c r="J11">
        <f t="shared" si="4"/>
        <v>1.5552250801947312</v>
      </c>
      <c r="K11">
        <f t="shared" si="5"/>
        <v>1.5906486730265412</v>
      </c>
      <c r="L11">
        <f t="shared" si="6"/>
        <v>0.16071967045768604</v>
      </c>
      <c r="M11">
        <f t="shared" si="7"/>
        <v>9.8300493686923858</v>
      </c>
      <c r="N11">
        <f t="shared" si="8"/>
        <v>5.1331188830333302E-2</v>
      </c>
      <c r="O11">
        <f t="shared" si="9"/>
        <v>2.5665594415166651E-2</v>
      </c>
      <c r="Q11">
        <f t="shared" si="10"/>
        <v>0</v>
      </c>
      <c r="T11">
        <f>U11*$T$6/$U$6</f>
        <v>0.01</v>
      </c>
      <c r="U11">
        <v>10</v>
      </c>
    </row>
    <row r="12" spans="1:21" x14ac:dyDescent="0.25">
      <c r="A12">
        <v>60</v>
      </c>
      <c r="B12">
        <v>35.020000000000003</v>
      </c>
      <c r="C12">
        <v>36.08</v>
      </c>
      <c r="D12">
        <v>36.6</v>
      </c>
      <c r="E12">
        <f t="shared" si="1"/>
        <v>35.9</v>
      </c>
      <c r="F12">
        <f t="shared" si="11"/>
        <v>0.80523288556789452</v>
      </c>
      <c r="G12" s="3">
        <f t="shared" si="2"/>
        <v>3.2049999999999996</v>
      </c>
      <c r="H12">
        <f t="shared" si="12"/>
        <v>7.1887782680922052E-2</v>
      </c>
      <c r="I12">
        <f t="shared" si="3"/>
        <v>64.099999999999994</v>
      </c>
      <c r="J12">
        <f t="shared" si="4"/>
        <v>1.514481341698783</v>
      </c>
      <c r="K12">
        <f t="shared" si="5"/>
        <v>1.5550944485783191</v>
      </c>
      <c r="L12">
        <f t="shared" si="6"/>
        <v>0.17053716694816951</v>
      </c>
      <c r="M12">
        <f t="shared" si="7"/>
        <v>18.720748829953202</v>
      </c>
      <c r="N12">
        <f t="shared" si="8"/>
        <v>5.5710306406685242E-2</v>
      </c>
      <c r="O12">
        <f t="shared" si="9"/>
        <v>2.7855153203342621E-2</v>
      </c>
      <c r="Q12">
        <f t="shared" si="10"/>
        <v>0</v>
      </c>
    </row>
    <row r="13" spans="1:21" x14ac:dyDescent="0.25">
      <c r="A13">
        <v>120</v>
      </c>
      <c r="B13">
        <v>33.088999999999999</v>
      </c>
      <c r="C13">
        <v>32.700000000000003</v>
      </c>
      <c r="D13">
        <v>32.67</v>
      </c>
      <c r="E13">
        <f t="shared" si="1"/>
        <v>32.81966666666667</v>
      </c>
      <c r="F13">
        <f t="shared" si="11"/>
        <v>0.23373132723991533</v>
      </c>
      <c r="G13" s="3">
        <f t="shared" si="2"/>
        <v>3.3590166666666659</v>
      </c>
      <c r="H13">
        <f t="shared" si="12"/>
        <v>2.3921858551914886E-2</v>
      </c>
      <c r="I13">
        <f t="shared" si="3"/>
        <v>67.180333333333323</v>
      </c>
      <c r="J13">
        <f t="shared" si="4"/>
        <v>1.469242324594157</v>
      </c>
      <c r="K13">
        <f t="shared" si="5"/>
        <v>1.5161341658224232</v>
      </c>
      <c r="L13">
        <f t="shared" si="6"/>
        <v>0.18155630335806572</v>
      </c>
      <c r="M13">
        <f t="shared" si="7"/>
        <v>35.724740871584451</v>
      </c>
      <c r="N13">
        <f t="shared" si="8"/>
        <v>6.0939071085426413E-2</v>
      </c>
      <c r="O13">
        <f t="shared" si="9"/>
        <v>3.0469535542713207E-2</v>
      </c>
      <c r="Q13">
        <f t="shared" si="10"/>
        <v>0</v>
      </c>
    </row>
    <row r="14" spans="1:21" x14ac:dyDescent="0.25">
      <c r="A14">
        <v>240</v>
      </c>
      <c r="B14">
        <v>30.332000000000001</v>
      </c>
      <c r="C14">
        <v>30.8</v>
      </c>
      <c r="D14">
        <v>31.88</v>
      </c>
      <c r="E14">
        <f t="shared" si="1"/>
        <v>31.004000000000001</v>
      </c>
      <c r="F14">
        <f t="shared" si="11"/>
        <v>0.79390679553710741</v>
      </c>
      <c r="G14" s="3">
        <f t="shared" si="2"/>
        <v>3.4497999999999998</v>
      </c>
      <c r="H14">
        <f t="shared" si="12"/>
        <v>8.833762299199821E-2</v>
      </c>
      <c r="I14">
        <f t="shared" si="3"/>
        <v>68.995999999999995</v>
      </c>
      <c r="J14">
        <f t="shared" si="4"/>
        <v>1.4401878063747671</v>
      </c>
      <c r="K14">
        <f t="shared" si="5"/>
        <v>1.4914177282168939</v>
      </c>
      <c r="L14">
        <f t="shared" si="6"/>
        <v>0.18869463679776319</v>
      </c>
      <c r="M14">
        <f t="shared" si="7"/>
        <v>69.569250391327031</v>
      </c>
      <c r="N14">
        <f t="shared" si="8"/>
        <v>6.4507805444458777E-2</v>
      </c>
      <c r="O14">
        <f t="shared" si="9"/>
        <v>3.2253902722229388E-2</v>
      </c>
      <c r="Q14">
        <f t="shared" si="10"/>
        <v>0</v>
      </c>
    </row>
    <row r="15" spans="1:21" x14ac:dyDescent="0.25">
      <c r="A15">
        <v>420</v>
      </c>
      <c r="B15">
        <v>28.7</v>
      </c>
      <c r="C15">
        <v>28.876000000000001</v>
      </c>
      <c r="D15">
        <v>27.6</v>
      </c>
      <c r="E15">
        <f>AVERAGE(B15:D15)</f>
        <v>28.391999999999999</v>
      </c>
      <c r="F15">
        <f t="shared" si="11"/>
        <v>0.69151428040207474</v>
      </c>
      <c r="G15" s="3">
        <f t="shared" si="2"/>
        <v>3.5804000000000005</v>
      </c>
      <c r="H15">
        <f t="shared" si="12"/>
        <v>8.7204062043941558E-2</v>
      </c>
      <c r="I15">
        <f t="shared" si="3"/>
        <v>71.608000000000004</v>
      </c>
      <c r="J15">
        <f t="shared" si="4"/>
        <v>1.3946547710745405</v>
      </c>
      <c r="K15">
        <f t="shared" si="5"/>
        <v>1.4531959863395363</v>
      </c>
      <c r="L15">
        <f t="shared" si="6"/>
        <v>0.19996974827327796</v>
      </c>
      <c r="M15">
        <f t="shared" si="7"/>
        <v>117.30532901351803</v>
      </c>
      <c r="N15">
        <f t="shared" si="8"/>
        <v>7.0442378134685832E-2</v>
      </c>
      <c r="O15">
        <f t="shared" si="9"/>
        <v>3.5221189067342916E-2</v>
      </c>
      <c r="Q15">
        <f t="shared" si="10"/>
        <v>0</v>
      </c>
    </row>
    <row r="16" spans="1:21" x14ac:dyDescent="0.25">
      <c r="A16">
        <v>720</v>
      </c>
      <c r="B16">
        <v>27.928999999999998</v>
      </c>
      <c r="C16">
        <v>27.236000000000001</v>
      </c>
      <c r="D16">
        <v>28.888000000000002</v>
      </c>
      <c r="E16">
        <f t="shared" si="1"/>
        <v>28.017666666666667</v>
      </c>
      <c r="F16">
        <f t="shared" si="11"/>
        <v>0.8295615307699209</v>
      </c>
      <c r="G16" s="3">
        <f t="shared" si="2"/>
        <v>3.5991166666666663</v>
      </c>
      <c r="H16">
        <f t="shared" si="12"/>
        <v>0.10656450328077052</v>
      </c>
      <c r="I16">
        <f>(($B$1-E16)/$B$1)*100</f>
        <v>71.98233333333333</v>
      </c>
      <c r="J16">
        <f t="shared" si="4"/>
        <v>1.3877198714968519</v>
      </c>
      <c r="K16">
        <f t="shared" si="5"/>
        <v>1.4474319640694422</v>
      </c>
      <c r="L16">
        <f t="shared" si="6"/>
        <v>0.20169577891442123</v>
      </c>
      <c r="M16">
        <f t="shared" si="7"/>
        <v>200.04908611835313</v>
      </c>
      <c r="N16">
        <f t="shared" si="8"/>
        <v>7.1383531819209312E-2</v>
      </c>
      <c r="O16">
        <f t="shared" si="9"/>
        <v>3.5691765909604656E-2</v>
      </c>
      <c r="Q16">
        <f t="shared" si="10"/>
        <v>0</v>
      </c>
    </row>
    <row r="17" spans="1:17" x14ac:dyDescent="0.25">
      <c r="A17">
        <v>1440</v>
      </c>
      <c r="B17">
        <v>26.405000000000001</v>
      </c>
      <c r="C17">
        <v>26.747499999999999</v>
      </c>
      <c r="D17">
        <v>25.1584</v>
      </c>
      <c r="E17">
        <f>AVERAGE(B17:D17)</f>
        <v>26.103633333333335</v>
      </c>
      <c r="F17">
        <f t="shared" si="11"/>
        <v>0.83631698735188476</v>
      </c>
      <c r="G17" s="3">
        <f t="shared" si="2"/>
        <v>3.6948183333333335</v>
      </c>
      <c r="H17">
        <f t="shared" si="12"/>
        <v>0.11837583289219682</v>
      </c>
      <c r="I17">
        <f>(($B$1-E17)/$B$1)*100</f>
        <v>73.896366666666665</v>
      </c>
      <c r="J17">
        <f t="shared" si="4"/>
        <v>1.3504188912263544</v>
      </c>
      <c r="K17">
        <f t="shared" si="5"/>
        <v>1.4167009604722631</v>
      </c>
      <c r="L17">
        <f t="shared" si="6"/>
        <v>0.21101574962398023</v>
      </c>
      <c r="M17">
        <f t="shared" si="7"/>
        <v>389.73499373672405</v>
      </c>
      <c r="N17">
        <f t="shared" si="8"/>
        <v>7.6617686682186006E-2</v>
      </c>
      <c r="O17">
        <f t="shared" si="9"/>
        <v>3.8308843341093003E-2</v>
      </c>
      <c r="Q17">
        <f t="shared" si="10"/>
        <v>0</v>
      </c>
    </row>
    <row r="18" spans="1:17" x14ac:dyDescent="0.25">
      <c r="A18">
        <v>2880</v>
      </c>
      <c r="B18">
        <v>25.1815</v>
      </c>
      <c r="C18">
        <v>25.080200000000001</v>
      </c>
      <c r="D18">
        <v>24.466999999999999</v>
      </c>
      <c r="E18">
        <f t="shared" si="1"/>
        <v>24.909566666666667</v>
      </c>
      <c r="F18">
        <f t="shared" si="11"/>
        <v>0.38660621222806812</v>
      </c>
      <c r="G18" s="3">
        <f t="shared" si="2"/>
        <v>3.7545216666666663</v>
      </c>
      <c r="H18">
        <f t="shared" si="12"/>
        <v>5.8271643971253881E-2</v>
      </c>
      <c r="I18">
        <f>(($B$1-E18)/$B$1)*100</f>
        <v>75.090433333333337</v>
      </c>
      <c r="J18">
        <f t="shared" si="4"/>
        <v>1.3254139534787481</v>
      </c>
      <c r="K18">
        <f t="shared" si="5"/>
        <v>1.396366172501885</v>
      </c>
      <c r="L18">
        <f t="shared" si="6"/>
        <v>0.21729461864256766</v>
      </c>
      <c r="M18">
        <f t="shared" si="7"/>
        <v>767.07507791716046</v>
      </c>
      <c r="N18">
        <f t="shared" si="8"/>
        <v>8.0290437275103141E-2</v>
      </c>
      <c r="O18">
        <f t="shared" si="9"/>
        <v>4.014521863755157E-2</v>
      </c>
      <c r="Q18">
        <f t="shared" si="10"/>
        <v>0</v>
      </c>
    </row>
  </sheetData>
  <mergeCells count="4">
    <mergeCell ref="B7:D7"/>
    <mergeCell ref="E7:E8"/>
    <mergeCell ref="F7:F8"/>
    <mergeCell ref="G7:G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50"/>
  <sheetViews>
    <sheetView workbookViewId="0">
      <selection activeCell="N26" sqref="N26"/>
    </sheetView>
  </sheetViews>
  <sheetFormatPr defaultRowHeight="12.5" x14ac:dyDescent="0.25"/>
  <cols>
    <col min="10" max="10" width="10.81640625" bestFit="1" customWidth="1"/>
    <col min="12" max="12" width="13.7265625" customWidth="1"/>
  </cols>
  <sheetData>
    <row r="1" spans="1:17" x14ac:dyDescent="0.25">
      <c r="A1" t="s">
        <v>0</v>
      </c>
      <c r="B1">
        <v>10</v>
      </c>
      <c r="C1" t="s">
        <v>1</v>
      </c>
      <c r="D1" s="3" t="s">
        <v>31</v>
      </c>
      <c r="E1" s="3" t="s">
        <v>32</v>
      </c>
      <c r="F1" s="3"/>
      <c r="G1" s="3"/>
      <c r="H1" s="3"/>
      <c r="I1" s="3"/>
      <c r="J1" s="3"/>
      <c r="K1" s="3"/>
      <c r="L1" s="3"/>
      <c r="M1" s="3"/>
    </row>
    <row r="2" spans="1:17" x14ac:dyDescent="0.25">
      <c r="A2" t="s">
        <v>3</v>
      </c>
      <c r="B2">
        <v>0.4</v>
      </c>
      <c r="C2" t="s">
        <v>4</v>
      </c>
      <c r="D2" s="3"/>
      <c r="E2" s="3"/>
      <c r="F2" s="3"/>
      <c r="G2" s="3" t="s">
        <v>22</v>
      </c>
      <c r="H2" s="3" t="s">
        <v>23</v>
      </c>
      <c r="I2" s="3" t="s">
        <v>42</v>
      </c>
      <c r="J2" s="3" t="s">
        <v>40</v>
      </c>
      <c r="K2" s="3" t="s">
        <v>33</v>
      </c>
      <c r="L2" s="3" t="s">
        <v>43</v>
      </c>
      <c r="M2" s="3" t="s">
        <v>45</v>
      </c>
    </row>
    <row r="3" spans="1:17" x14ac:dyDescent="0.25">
      <c r="A3" t="s">
        <v>5</v>
      </c>
      <c r="B3">
        <v>20</v>
      </c>
      <c r="C3" t="s">
        <v>6</v>
      </c>
      <c r="D3" s="3"/>
      <c r="E3" s="3"/>
      <c r="F3" s="3"/>
      <c r="G3" s="3">
        <v>31.566179999999999</v>
      </c>
      <c r="H3" s="3">
        <v>105.28856</v>
      </c>
      <c r="I3" s="3">
        <f>1/H3</f>
        <v>9.4977080131022785E-3</v>
      </c>
      <c r="J3" s="3">
        <f>I3*2</f>
        <v>1.8995416026204557E-2</v>
      </c>
      <c r="K3" s="3">
        <f>1*(G3*J3)</f>
        <v>0.59961272145805777</v>
      </c>
      <c r="L3" s="3">
        <v>9.4900000000000002E-3</v>
      </c>
      <c r="M3" s="3">
        <v>0.998</v>
      </c>
    </row>
    <row r="4" spans="1:17" x14ac:dyDescent="0.25">
      <c r="B4">
        <f>B3/1000</f>
        <v>0.02</v>
      </c>
      <c r="C4" t="s">
        <v>7</v>
      </c>
    </row>
    <row r="6" spans="1:17" x14ac:dyDescent="0.25">
      <c r="A6" t="s">
        <v>21</v>
      </c>
      <c r="E6" t="s">
        <v>28</v>
      </c>
      <c r="Q6" t="s">
        <v>35</v>
      </c>
    </row>
    <row r="7" spans="1:17" x14ac:dyDescent="0.25">
      <c r="A7" t="s">
        <v>8</v>
      </c>
      <c r="B7" s="5" t="s">
        <v>9</v>
      </c>
      <c r="C7" s="5"/>
      <c r="D7" s="5"/>
      <c r="E7" s="5" t="s">
        <v>10</v>
      </c>
      <c r="F7" s="5" t="s">
        <v>11</v>
      </c>
      <c r="G7" s="6" t="s">
        <v>12</v>
      </c>
      <c r="H7" s="1"/>
      <c r="J7" t="s">
        <v>33</v>
      </c>
    </row>
    <row r="8" spans="1:17" x14ac:dyDescent="0.25">
      <c r="A8" t="s">
        <v>13</v>
      </c>
      <c r="B8">
        <v>1</v>
      </c>
      <c r="C8">
        <v>2</v>
      </c>
      <c r="D8">
        <v>3</v>
      </c>
      <c r="E8" s="5"/>
      <c r="F8" s="5"/>
      <c r="G8" s="6"/>
      <c r="H8" s="1" t="s">
        <v>38</v>
      </c>
      <c r="I8" t="s">
        <v>14</v>
      </c>
      <c r="J8" t="s">
        <v>29</v>
      </c>
      <c r="K8" t="s">
        <v>16</v>
      </c>
      <c r="L8" t="s">
        <v>34</v>
      </c>
      <c r="M8" t="s">
        <v>18</v>
      </c>
      <c r="N8" t="s">
        <v>30</v>
      </c>
      <c r="O8" t="s">
        <v>20</v>
      </c>
    </row>
    <row r="9" spans="1:17" x14ac:dyDescent="0.25">
      <c r="A9">
        <v>15</v>
      </c>
      <c r="B9">
        <v>0.59230000000000005</v>
      </c>
      <c r="C9">
        <v>0.58489999999999998</v>
      </c>
      <c r="D9">
        <v>0.58499999999999996</v>
      </c>
      <c r="E9">
        <f>AVERAGE(B9:D9)</f>
        <v>0.58740000000000003</v>
      </c>
      <c r="F9">
        <f>STDEV(B9:D9)</f>
        <v>4.2438190347846346E-3</v>
      </c>
      <c r="G9" s="3">
        <f>(($B$1-E9)/$B$2)*$B$4</f>
        <v>0.47062999999999994</v>
      </c>
      <c r="H9">
        <f>10*F9/E9*10</f>
        <v>0.72247515062727863</v>
      </c>
      <c r="I9">
        <f t="shared" ref="I9:I18" si="0">(($B$1-E9)/$B$1)*100</f>
        <v>94.126000000000005</v>
      </c>
      <c r="J9">
        <f t="shared" ref="J9:J18" si="1">ABS(LOG(E9-G9))</f>
        <v>0.93266871979183186</v>
      </c>
      <c r="K9">
        <f t="shared" ref="K9:K18" si="2">ABS(LOG(E9))</f>
        <v>0.23106605781321851</v>
      </c>
      <c r="L9">
        <f t="shared" ref="L9:L18" si="3">ABS(K9-A9/2.303)</f>
        <v>6.2821775374972466</v>
      </c>
      <c r="M9">
        <f t="shared" ref="M9:M18" si="4">A9/G9</f>
        <v>31.872171344793156</v>
      </c>
      <c r="N9">
        <f t="shared" ref="N9:N18" si="5">1/E9*2</f>
        <v>3.4048348655090228</v>
      </c>
      <c r="O9">
        <f t="shared" ref="O9:O18" si="6">1/E9</f>
        <v>1.7024174327545114</v>
      </c>
      <c r="Q9">
        <f t="shared" ref="Q9:Q18" si="7">($S$49*($S$48^2)*A9)/(1+($S$49*A9*$S$48))</f>
        <v>0.46557907181839081</v>
      </c>
    </row>
    <row r="10" spans="1:17" x14ac:dyDescent="0.25">
      <c r="A10">
        <v>20</v>
      </c>
      <c r="B10">
        <v>0.57909999999999995</v>
      </c>
      <c r="C10">
        <v>0.57979999999999998</v>
      </c>
      <c r="D10">
        <v>0.57199999999999995</v>
      </c>
      <c r="E10">
        <f t="shared" ref="E10:E18" si="8">AVERAGE(B10:D10)</f>
        <v>0.57696666666666674</v>
      </c>
      <c r="F10">
        <f t="shared" ref="F10:F18" si="9">STDEV(B10:D10)</f>
        <v>4.3154760262725834E-3</v>
      </c>
      <c r="G10" s="3">
        <f t="shared" ref="G10:G18" si="10">(($B$1-E10)/$B$2)*$B$4</f>
        <v>0.47115166666666664</v>
      </c>
      <c r="H10">
        <f t="shared" ref="H10:H18" si="11">10*F10/E10*10</f>
        <v>0.7479593320710467</v>
      </c>
      <c r="I10">
        <f t="shared" si="0"/>
        <v>94.230333333333334</v>
      </c>
      <c r="J10">
        <f t="shared" si="1"/>
        <v>0.97545276372356293</v>
      </c>
      <c r="K10">
        <f t="shared" si="2"/>
        <v>0.23884927679383516</v>
      </c>
      <c r="L10">
        <f t="shared" si="3"/>
        <v>8.4454755169534508</v>
      </c>
      <c r="M10">
        <f t="shared" si="4"/>
        <v>42.449175955371771</v>
      </c>
      <c r="N10">
        <f t="shared" si="5"/>
        <v>3.4664047605292039</v>
      </c>
      <c r="O10">
        <f t="shared" si="6"/>
        <v>1.7332023802646019</v>
      </c>
      <c r="Q10">
        <f t="shared" si="7"/>
        <v>0.46787129197267491</v>
      </c>
    </row>
    <row r="11" spans="1:17" x14ac:dyDescent="0.25">
      <c r="A11">
        <v>30</v>
      </c>
      <c r="B11">
        <v>0.56630000000000003</v>
      </c>
      <c r="C11">
        <v>0.56389999999999996</v>
      </c>
      <c r="D11">
        <v>0.56159999999999999</v>
      </c>
      <c r="E11">
        <f t="shared" si="8"/>
        <v>0.56393333333333329</v>
      </c>
      <c r="F11">
        <f t="shared" si="9"/>
        <v>2.3501772982763287E-3</v>
      </c>
      <c r="G11" s="3">
        <f t="shared" si="10"/>
        <v>0.4718033333333333</v>
      </c>
      <c r="H11">
        <f t="shared" si="11"/>
        <v>0.41674736344892938</v>
      </c>
      <c r="I11">
        <f t="shared" si="0"/>
        <v>94.360666666666674</v>
      </c>
      <c r="J11">
        <f t="shared" si="1"/>
        <v>1.0355989288372687</v>
      </c>
      <c r="K11">
        <f t="shared" si="2"/>
        <v>0.2487722340960252</v>
      </c>
      <c r="L11">
        <f t="shared" si="3"/>
        <v>12.777714956524905</v>
      </c>
      <c r="M11">
        <f t="shared" si="4"/>
        <v>63.585816123949954</v>
      </c>
      <c r="N11">
        <f t="shared" si="5"/>
        <v>3.5465185010048472</v>
      </c>
      <c r="O11">
        <f t="shared" si="6"/>
        <v>1.7732592505024236</v>
      </c>
      <c r="Q11">
        <f t="shared" si="7"/>
        <v>0.47018619471860518</v>
      </c>
    </row>
    <row r="12" spans="1:17" x14ac:dyDescent="0.25">
      <c r="A12">
        <v>60</v>
      </c>
      <c r="B12">
        <v>0.54779999999999995</v>
      </c>
      <c r="C12">
        <v>0.54079999999999995</v>
      </c>
      <c r="D12">
        <v>0.54010000000000002</v>
      </c>
      <c r="E12">
        <f t="shared" si="8"/>
        <v>0.54290000000000005</v>
      </c>
      <c r="F12">
        <f t="shared" si="9"/>
        <v>4.2579337712087316E-3</v>
      </c>
      <c r="G12" s="3">
        <f t="shared" si="10"/>
        <v>0.47285500000000003</v>
      </c>
      <c r="H12">
        <f t="shared" si="11"/>
        <v>0.78429430304084202</v>
      </c>
      <c r="I12">
        <f t="shared" si="0"/>
        <v>94.570999999999998</v>
      </c>
      <c r="J12">
        <f t="shared" si="1"/>
        <v>1.154622860376928</v>
      </c>
      <c r="K12">
        <f t="shared" si="2"/>
        <v>0.26528015834432012</v>
      </c>
      <c r="L12">
        <f t="shared" si="3"/>
        <v>25.787694222897539</v>
      </c>
      <c r="M12">
        <f t="shared" si="4"/>
        <v>126.88879254739824</v>
      </c>
      <c r="N12">
        <f t="shared" si="5"/>
        <v>3.6839196905507459</v>
      </c>
      <c r="O12">
        <f t="shared" si="6"/>
        <v>1.8419598452753729</v>
      </c>
      <c r="Q12">
        <f t="shared" si="7"/>
        <v>0.47252411841257586</v>
      </c>
    </row>
    <row r="13" spans="1:17" x14ac:dyDescent="0.25">
      <c r="A13">
        <v>120</v>
      </c>
      <c r="B13">
        <v>0.53559999999999997</v>
      </c>
      <c r="C13">
        <v>0.53380000000000005</v>
      </c>
      <c r="D13">
        <v>0.53790000000000004</v>
      </c>
      <c r="E13">
        <f t="shared" si="8"/>
        <v>0.53576666666666661</v>
      </c>
      <c r="F13">
        <f t="shared" si="9"/>
        <v>2.0550750189064467E-3</v>
      </c>
      <c r="G13" s="3">
        <f t="shared" si="10"/>
        <v>0.47321166666666664</v>
      </c>
      <c r="H13">
        <f t="shared" si="11"/>
        <v>0.38357649827159457</v>
      </c>
      <c r="I13">
        <f t="shared" si="0"/>
        <v>94.642333333333326</v>
      </c>
      <c r="J13">
        <f t="shared" si="1"/>
        <v>1.2037379715720855</v>
      </c>
      <c r="K13">
        <f t="shared" si="2"/>
        <v>0.2710243100130959</v>
      </c>
      <c r="L13">
        <f t="shared" si="3"/>
        <v>51.834924452470624</v>
      </c>
      <c r="M13">
        <f t="shared" si="4"/>
        <v>253.58630915693121</v>
      </c>
      <c r="N13">
        <f t="shared" si="5"/>
        <v>3.7329683319853175</v>
      </c>
      <c r="O13">
        <f t="shared" si="6"/>
        <v>1.8664841659926588</v>
      </c>
      <c r="Q13">
        <f t="shared" si="7"/>
        <v>0.47370182069618444</v>
      </c>
    </row>
    <row r="14" spans="1:17" x14ac:dyDescent="0.25">
      <c r="A14">
        <v>240</v>
      </c>
      <c r="B14">
        <v>0.52569999999999995</v>
      </c>
      <c r="C14">
        <v>0.52569999999999995</v>
      </c>
      <c r="D14">
        <v>0.52380000000000004</v>
      </c>
      <c r="E14">
        <f t="shared" si="8"/>
        <v>0.52506666666666668</v>
      </c>
      <c r="F14">
        <f t="shared" si="9"/>
        <v>1.0969655114602323E-3</v>
      </c>
      <c r="G14" s="3">
        <f t="shared" si="10"/>
        <v>0.47374666666666665</v>
      </c>
      <c r="H14">
        <f t="shared" si="11"/>
        <v>0.20891928227404116</v>
      </c>
      <c r="I14">
        <f t="shared" si="0"/>
        <v>94.749333333333325</v>
      </c>
      <c r="J14">
        <f t="shared" si="1"/>
        <v>1.2897133522971089</v>
      </c>
      <c r="K14">
        <f t="shared" si="2"/>
        <v>0.27978555158960061</v>
      </c>
      <c r="L14">
        <f t="shared" si="3"/>
        <v>103.93211197337784</v>
      </c>
      <c r="M14">
        <f t="shared" si="4"/>
        <v>506.59987053558865</v>
      </c>
      <c r="N14">
        <f t="shared" si="5"/>
        <v>3.809040121889284</v>
      </c>
      <c r="O14">
        <f t="shared" si="6"/>
        <v>1.904520060944642</v>
      </c>
      <c r="Q14">
        <f t="shared" si="7"/>
        <v>0.47429287603223685</v>
      </c>
    </row>
    <row r="15" spans="1:17" x14ac:dyDescent="0.25">
      <c r="A15">
        <v>420</v>
      </c>
      <c r="B15">
        <v>0.51839999999999997</v>
      </c>
      <c r="C15">
        <v>0.51270000000000004</v>
      </c>
      <c r="D15">
        <v>0.51090000000000002</v>
      </c>
      <c r="E15">
        <f t="shared" si="8"/>
        <v>0.5139999999999999</v>
      </c>
      <c r="F15">
        <f t="shared" si="9"/>
        <v>3.9153543900903474E-3</v>
      </c>
      <c r="G15" s="3">
        <f t="shared" si="10"/>
        <v>0.4743</v>
      </c>
      <c r="H15">
        <f t="shared" si="11"/>
        <v>0.76174209923936742</v>
      </c>
      <c r="I15">
        <f t="shared" si="0"/>
        <v>94.860000000000014</v>
      </c>
      <c r="J15">
        <f t="shared" si="1"/>
        <v>1.4012094932368859</v>
      </c>
      <c r="K15">
        <f t="shared" si="2"/>
        <v>0.28903688100472436</v>
      </c>
      <c r="L15">
        <f t="shared" si="3"/>
        <v>182.08178378768829</v>
      </c>
      <c r="M15">
        <f t="shared" si="4"/>
        <v>885.51549652118911</v>
      </c>
      <c r="N15">
        <f t="shared" si="5"/>
        <v>3.8910505836575884</v>
      </c>
      <c r="O15">
        <f t="shared" si="6"/>
        <v>1.9455252918287942</v>
      </c>
      <c r="Q15">
        <f t="shared" si="7"/>
        <v>0.47454663722294077</v>
      </c>
    </row>
    <row r="16" spans="1:17" x14ac:dyDescent="0.25">
      <c r="A16">
        <v>720</v>
      </c>
      <c r="B16">
        <v>0.50819999999999999</v>
      </c>
      <c r="C16">
        <v>0.50880000000000003</v>
      </c>
      <c r="D16">
        <v>0.50790000000000002</v>
      </c>
      <c r="E16">
        <f t="shared" si="8"/>
        <v>0.50829999999999997</v>
      </c>
      <c r="F16">
        <f t="shared" si="9"/>
        <v>4.5825756949559407E-4</v>
      </c>
      <c r="G16" s="3">
        <f t="shared" si="10"/>
        <v>0.47458499999999992</v>
      </c>
      <c r="H16">
        <f t="shared" si="11"/>
        <v>9.0154941864173541E-2</v>
      </c>
      <c r="I16">
        <f t="shared" si="0"/>
        <v>94.917000000000002</v>
      </c>
      <c r="J16">
        <f t="shared" si="1"/>
        <v>1.4721768359873404</v>
      </c>
      <c r="K16">
        <f t="shared" si="2"/>
        <v>0.29387989029729644</v>
      </c>
      <c r="L16">
        <f t="shared" si="3"/>
        <v>312.34181268460497</v>
      </c>
      <c r="M16">
        <f t="shared" si="4"/>
        <v>1517.1149530642565</v>
      </c>
      <c r="N16">
        <f t="shared" si="5"/>
        <v>3.9346842415896126</v>
      </c>
      <c r="O16">
        <f t="shared" si="6"/>
        <v>1.9673421207948063</v>
      </c>
      <c r="Q16">
        <f t="shared" si="7"/>
        <v>0.47468773302920209</v>
      </c>
    </row>
    <row r="17" spans="1:20" x14ac:dyDescent="0.25">
      <c r="A17">
        <v>1440</v>
      </c>
      <c r="B17">
        <v>0.50509999999999999</v>
      </c>
      <c r="C17">
        <v>0.50609999999999999</v>
      </c>
      <c r="D17">
        <v>0.50439999999999996</v>
      </c>
      <c r="E17">
        <f t="shared" si="8"/>
        <v>0.50519999999999998</v>
      </c>
      <c r="F17">
        <f t="shared" si="9"/>
        <v>8.5440037453176948E-4</v>
      </c>
      <c r="G17" s="3">
        <f t="shared" si="10"/>
        <v>0.47474</v>
      </c>
      <c r="H17">
        <f t="shared" si="11"/>
        <v>0.16912121427786408</v>
      </c>
      <c r="I17">
        <f t="shared" si="0"/>
        <v>94.947999999999993</v>
      </c>
      <c r="J17">
        <f t="shared" si="1"/>
        <v>1.5162701009999764</v>
      </c>
      <c r="K17">
        <f t="shared" si="2"/>
        <v>0.29653665811670687</v>
      </c>
      <c r="L17">
        <f t="shared" si="3"/>
        <v>624.97484849168791</v>
      </c>
      <c r="M17">
        <f t="shared" si="4"/>
        <v>3033.239246745587</v>
      </c>
      <c r="N17">
        <f t="shared" si="5"/>
        <v>3.9588281868566906</v>
      </c>
      <c r="O17">
        <f t="shared" si="6"/>
        <v>1.9794140934283453</v>
      </c>
      <c r="Q17">
        <f t="shared" si="7"/>
        <v>0.47478655002647141</v>
      </c>
    </row>
    <row r="18" spans="1:20" x14ac:dyDescent="0.25">
      <c r="A18">
        <v>2880</v>
      </c>
      <c r="B18">
        <v>0.50249999999999995</v>
      </c>
      <c r="C18">
        <v>0.50370000000000004</v>
      </c>
      <c r="D18">
        <v>0.502</v>
      </c>
      <c r="E18">
        <f t="shared" si="8"/>
        <v>0.50273333333333337</v>
      </c>
      <c r="F18">
        <f t="shared" si="9"/>
        <v>8.7368949480543705E-4</v>
      </c>
      <c r="G18" s="3">
        <f t="shared" si="10"/>
        <v>0.4748633333333333</v>
      </c>
      <c r="H18">
        <f t="shared" si="11"/>
        <v>0.17378785866704088</v>
      </c>
      <c r="I18">
        <f t="shared" si="0"/>
        <v>94.972666666666655</v>
      </c>
      <c r="J18">
        <f t="shared" si="1"/>
        <v>1.5548630312866949</v>
      </c>
      <c r="K18">
        <f t="shared" si="2"/>
        <v>0.29866231826746148</v>
      </c>
      <c r="L18">
        <f t="shared" si="3"/>
        <v>1250.2441079813418</v>
      </c>
      <c r="M18">
        <f t="shared" si="4"/>
        <v>6064.9028843386523</v>
      </c>
      <c r="N18">
        <f t="shared" si="5"/>
        <v>3.9782522211908233</v>
      </c>
      <c r="O18">
        <f t="shared" si="6"/>
        <v>1.9891261105954117</v>
      </c>
      <c r="Q18">
        <f t="shared" si="7"/>
        <v>0.47483597395495825</v>
      </c>
    </row>
    <row r="20" spans="1:20" x14ac:dyDescent="0.25">
      <c r="F20">
        <f>F9/E9*10</f>
        <v>7.2247515062727863E-2</v>
      </c>
    </row>
    <row r="32" spans="1:20" x14ac:dyDescent="0.25">
      <c r="S32" t="s">
        <v>36</v>
      </c>
      <c r="T32" t="s">
        <v>37</v>
      </c>
    </row>
    <row r="33" spans="18:20" x14ac:dyDescent="0.25">
      <c r="S33">
        <v>0</v>
      </c>
      <c r="T33">
        <v>0</v>
      </c>
    </row>
    <row r="34" spans="18:20" x14ac:dyDescent="0.25">
      <c r="S34">
        <f t="shared" ref="S34:S43" si="12">A9/G9</f>
        <v>31.872171344793156</v>
      </c>
      <c r="T34">
        <v>15</v>
      </c>
    </row>
    <row r="35" spans="18:20" x14ac:dyDescent="0.25">
      <c r="S35">
        <f t="shared" si="12"/>
        <v>42.449175955371771</v>
      </c>
      <c r="T35">
        <v>20</v>
      </c>
    </row>
    <row r="36" spans="18:20" x14ac:dyDescent="0.25">
      <c r="S36">
        <f t="shared" si="12"/>
        <v>63.585816123949954</v>
      </c>
      <c r="T36">
        <v>30</v>
      </c>
    </row>
    <row r="37" spans="18:20" x14ac:dyDescent="0.25">
      <c r="S37">
        <f t="shared" si="12"/>
        <v>126.88879254739824</v>
      </c>
      <c r="T37">
        <v>60</v>
      </c>
    </row>
    <row r="38" spans="18:20" x14ac:dyDescent="0.25">
      <c r="S38">
        <f t="shared" si="12"/>
        <v>253.58630915693121</v>
      </c>
      <c r="T38">
        <v>120</v>
      </c>
    </row>
    <row r="39" spans="18:20" x14ac:dyDescent="0.25">
      <c r="S39">
        <f t="shared" si="12"/>
        <v>506.59987053558865</v>
      </c>
      <c r="T39">
        <v>240</v>
      </c>
    </row>
    <row r="40" spans="18:20" x14ac:dyDescent="0.25">
      <c r="S40">
        <f t="shared" si="12"/>
        <v>885.51549652118911</v>
      </c>
      <c r="T40">
        <v>420</v>
      </c>
    </row>
    <row r="41" spans="18:20" x14ac:dyDescent="0.25">
      <c r="S41">
        <f t="shared" si="12"/>
        <v>1517.1149530642565</v>
      </c>
      <c r="T41">
        <v>720</v>
      </c>
    </row>
    <row r="42" spans="18:20" x14ac:dyDescent="0.25">
      <c r="S42">
        <f t="shared" si="12"/>
        <v>3033.239246745587</v>
      </c>
      <c r="T42">
        <v>1440</v>
      </c>
    </row>
    <row r="43" spans="18:20" x14ac:dyDescent="0.25">
      <c r="S43">
        <f t="shared" si="12"/>
        <v>6064.9028843386523</v>
      </c>
      <c r="T43">
        <v>2880</v>
      </c>
    </row>
    <row r="45" spans="18:20" x14ac:dyDescent="0.25">
      <c r="R45" t="s">
        <v>22</v>
      </c>
      <c r="S45">
        <f>INTERCEPT(S33:S43,T33:T43)</f>
        <v>0.63137550477563309</v>
      </c>
    </row>
    <row r="46" spans="18:20" x14ac:dyDescent="0.25">
      <c r="R46" t="s">
        <v>23</v>
      </c>
      <c r="S46">
        <f>SLOPE(S33:S43,T33:T43)</f>
        <v>2.1057711666578949</v>
      </c>
    </row>
    <row r="47" spans="18:20" ht="14.5" x14ac:dyDescent="0.25">
      <c r="R47" t="s">
        <v>26</v>
      </c>
      <c r="S47">
        <f>RSQ(S34:S43,T34:T43)</f>
        <v>0.99999996605156538</v>
      </c>
    </row>
    <row r="48" spans="18:20" x14ac:dyDescent="0.25">
      <c r="R48" t="s">
        <v>24</v>
      </c>
      <c r="S48">
        <f>1/S46</f>
        <v>0.47488540817429697</v>
      </c>
    </row>
    <row r="49" spans="18:19" ht="14.5" x14ac:dyDescent="0.25">
      <c r="R49" t="s">
        <v>27</v>
      </c>
      <c r="S49">
        <f>(S46^2)/S45</f>
        <v>7.023193286384342</v>
      </c>
    </row>
    <row r="50" spans="18:19" x14ac:dyDescent="0.25">
      <c r="R50" t="s">
        <v>25</v>
      </c>
      <c r="S50">
        <f>1/S45</f>
        <v>1.5838435169501264</v>
      </c>
    </row>
  </sheetData>
  <mergeCells count="4">
    <mergeCell ref="B7:D7"/>
    <mergeCell ref="E7:E8"/>
    <mergeCell ref="F7:F8"/>
    <mergeCell ref="G7:G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28BA2-D741-41C2-A68B-81C17248E69F}">
  <dimension ref="A1:V18"/>
  <sheetViews>
    <sheetView tabSelected="1" workbookViewId="0">
      <selection activeCell="L32" sqref="L32"/>
    </sheetView>
  </sheetViews>
  <sheetFormatPr defaultRowHeight="12.5" x14ac:dyDescent="0.25"/>
  <sheetData>
    <row r="1" spans="1:22" x14ac:dyDescent="0.25">
      <c r="A1" t="s">
        <v>0</v>
      </c>
      <c r="B1">
        <v>100</v>
      </c>
      <c r="C1" t="s">
        <v>1</v>
      </c>
      <c r="D1" t="s">
        <v>31</v>
      </c>
      <c r="E1" t="s">
        <v>32</v>
      </c>
    </row>
    <row r="2" spans="1:22" x14ac:dyDescent="0.25">
      <c r="A2" t="s">
        <v>3</v>
      </c>
      <c r="B2">
        <v>0.4</v>
      </c>
      <c r="C2" t="s">
        <v>4</v>
      </c>
      <c r="F2" s="2" t="s">
        <v>46</v>
      </c>
      <c r="G2" s="2" t="s">
        <v>23</v>
      </c>
      <c r="H2" s="2" t="s">
        <v>28</v>
      </c>
      <c r="I2" s="2" t="s">
        <v>40</v>
      </c>
      <c r="J2" s="2" t="s">
        <v>33</v>
      </c>
      <c r="K2" s="2" t="s">
        <v>45</v>
      </c>
      <c r="L2" s="2" t="s">
        <v>43</v>
      </c>
      <c r="M2" s="3"/>
      <c r="N2" s="3"/>
      <c r="O2" s="3"/>
      <c r="P2" s="3"/>
      <c r="Q2" s="3"/>
      <c r="R2" s="3"/>
      <c r="S2" s="3"/>
    </row>
    <row r="3" spans="1:22" x14ac:dyDescent="0.25">
      <c r="A3" t="s">
        <v>5</v>
      </c>
      <c r="B3">
        <v>20</v>
      </c>
      <c r="C3" t="s">
        <v>6</v>
      </c>
      <c r="F3" s="2">
        <v>13.77084</v>
      </c>
      <c r="G3" s="2">
        <v>10.01262</v>
      </c>
      <c r="H3" s="2">
        <f>1/G3</f>
        <v>9.9873959063661658E-2</v>
      </c>
      <c r="I3" s="2">
        <f>H3*2</f>
        <v>0.19974791812732332</v>
      </c>
      <c r="J3" s="2">
        <f>1/(F3*I3)</f>
        <v>0.36354427180912713</v>
      </c>
      <c r="K3" s="2">
        <v>0.999</v>
      </c>
      <c r="L3" s="2">
        <v>9.9699999999999997E-2</v>
      </c>
      <c r="M3" s="3"/>
      <c r="N3" s="3"/>
      <c r="O3" s="3"/>
      <c r="P3" s="3"/>
      <c r="Q3" s="3"/>
      <c r="R3" s="3"/>
      <c r="S3" s="3"/>
      <c r="U3">
        <f t="shared" ref="U3" si="0">(($B$1-S3)/$B$3)*$B$4</f>
        <v>0.1</v>
      </c>
      <c r="V3">
        <f>(($B$1-S3)/$B$1)*100</f>
        <v>100</v>
      </c>
    </row>
    <row r="4" spans="1:22" x14ac:dyDescent="0.25">
      <c r="B4">
        <f>B3/1000</f>
        <v>0.02</v>
      </c>
      <c r="C4" t="s">
        <v>7</v>
      </c>
      <c r="M4" s="3"/>
      <c r="N4" s="3"/>
      <c r="O4" s="3"/>
      <c r="P4" s="3"/>
      <c r="Q4" s="3"/>
      <c r="R4" s="3"/>
      <c r="S4" s="3"/>
      <c r="U4">
        <f ca="1">V4*$U$6/$V$6</f>
        <v>0.105</v>
      </c>
      <c r="V4">
        <v>105</v>
      </c>
    </row>
    <row r="5" spans="1:22" x14ac:dyDescent="0.25">
      <c r="U5">
        <f ca="1">V5*$U$6/$V$6</f>
        <v>-5.0000000000000001E-3</v>
      </c>
      <c r="V5">
        <v>-5</v>
      </c>
    </row>
    <row r="6" spans="1:22" x14ac:dyDescent="0.25">
      <c r="A6" t="s">
        <v>21</v>
      </c>
      <c r="E6" t="s">
        <v>28</v>
      </c>
      <c r="R6" t="s">
        <v>35</v>
      </c>
      <c r="U6">
        <f ca="1">V6*$U$6/$V$6</f>
        <v>0.02</v>
      </c>
      <c r="V6">
        <v>20</v>
      </c>
    </row>
    <row r="7" spans="1:22" x14ac:dyDescent="0.25">
      <c r="A7" t="s">
        <v>8</v>
      </c>
      <c r="B7" s="5" t="s">
        <v>9</v>
      </c>
      <c r="C7" s="5"/>
      <c r="D7" s="5"/>
      <c r="E7" s="5" t="s">
        <v>10</v>
      </c>
      <c r="F7" s="5" t="s">
        <v>11</v>
      </c>
      <c r="G7" s="6" t="s">
        <v>12</v>
      </c>
      <c r="H7" s="4"/>
      <c r="I7" s="4"/>
      <c r="K7" t="s">
        <v>33</v>
      </c>
      <c r="U7">
        <f ca="1">V7*$U$6/$V$6</f>
        <v>0.06</v>
      </c>
      <c r="V7">
        <v>60</v>
      </c>
    </row>
    <row r="8" spans="1:22" x14ac:dyDescent="0.25">
      <c r="A8" t="s">
        <v>13</v>
      </c>
      <c r="B8">
        <v>1</v>
      </c>
      <c r="C8">
        <v>2</v>
      </c>
      <c r="D8">
        <v>3</v>
      </c>
      <c r="E8" s="5"/>
      <c r="F8" s="5"/>
      <c r="G8" s="6"/>
      <c r="H8" s="4" t="s">
        <v>47</v>
      </c>
      <c r="I8" s="4"/>
      <c r="J8" t="s">
        <v>14</v>
      </c>
      <c r="K8" t="s">
        <v>29</v>
      </c>
      <c r="L8" t="s">
        <v>16</v>
      </c>
      <c r="M8" t="s">
        <v>34</v>
      </c>
      <c r="N8" t="s">
        <v>18</v>
      </c>
      <c r="O8" t="s">
        <v>30</v>
      </c>
      <c r="P8" t="s">
        <v>20</v>
      </c>
      <c r="U8">
        <f ca="1">V8*$U$6/$V$6</f>
        <v>0.01</v>
      </c>
      <c r="V8">
        <v>10</v>
      </c>
    </row>
    <row r="9" spans="1:22" x14ac:dyDescent="0.25">
      <c r="A9">
        <v>15</v>
      </c>
      <c r="B9">
        <v>8.3147000000000002</v>
      </c>
      <c r="C9">
        <v>5.4249000000000001</v>
      </c>
      <c r="D9">
        <v>5.8677000000000001</v>
      </c>
      <c r="E9">
        <f>AVERAGE(B9:D9)</f>
        <v>6.5357666666666665</v>
      </c>
      <c r="F9">
        <f>STDEV(B9:D9)</f>
        <v>1.5564288654909186</v>
      </c>
      <c r="G9" s="3">
        <f>(($B$1-E9)/$B$2)*$B$4</f>
        <v>4.673211666666667</v>
      </c>
      <c r="H9">
        <f>(F9/E9*G9)/300</f>
        <v>3.7095987374849804E-3</v>
      </c>
      <c r="I9">
        <f>(($B$1-D9)/$B$1)*100</f>
        <v>94.132300000000001</v>
      </c>
      <c r="J9">
        <f>(($B$1-E9)/$B$1)*100</f>
        <v>93.46423333333334</v>
      </c>
      <c r="K9">
        <f t="shared" ref="K9:K18" si="1">LOG(E9-G9)</f>
        <v>0.27010910603446697</v>
      </c>
      <c r="L9">
        <f>LOG(E9)</f>
        <v>0.81529653905863453</v>
      </c>
      <c r="M9">
        <f t="shared" ref="M9:M18" si="2">ABS(L9-A9/2.303)</f>
        <v>5.6979470562518308</v>
      </c>
      <c r="N9">
        <f>A9/G9</f>
        <v>3.209783992236602</v>
      </c>
      <c r="O9">
        <f>1/E9*2</f>
        <v>0.30600847643479723</v>
      </c>
      <c r="P9">
        <f>1/E9</f>
        <v>0.15300423821739861</v>
      </c>
      <c r="R9">
        <f>($T$49*($T$48^2)*A9)/(1+($T$49*A9*$T$48))</f>
        <v>0</v>
      </c>
    </row>
    <row r="10" spans="1:22" x14ac:dyDescent="0.25">
      <c r="A10">
        <v>20</v>
      </c>
      <c r="B10">
        <v>0.41739999999999999</v>
      </c>
      <c r="C10">
        <v>0.2964</v>
      </c>
      <c r="D10">
        <v>0.51139999999999997</v>
      </c>
      <c r="E10">
        <f t="shared" ref="E10:E18" si="3">AVERAGE(B10:D10)</f>
        <v>0.40840000000000004</v>
      </c>
      <c r="F10">
        <f t="shared" ref="F10:F18" si="4">STDEV(B10:D10)</f>
        <v>0.10778218776773801</v>
      </c>
      <c r="G10" s="3">
        <f t="shared" ref="G10:G18" si="5">(($B$1-E10)/$B$2)*$B$4</f>
        <v>4.9795799999999995</v>
      </c>
      <c r="H10">
        <f>(F10/E10*G10)/300</f>
        <v>4.380591140748227E-3</v>
      </c>
      <c r="J10">
        <f>(($B$1-E10)/$B$1)*100</f>
        <v>99.5916</v>
      </c>
      <c r="K10" t="e">
        <f t="shared" si="1"/>
        <v>#NUM!</v>
      </c>
      <c r="L10">
        <f t="shared" ref="L10:L18" si="6">LOG(E10)</f>
        <v>-0.38891426658512734</v>
      </c>
      <c r="M10">
        <f t="shared" si="2"/>
        <v>9.0732390603324138</v>
      </c>
      <c r="N10">
        <f t="shared" ref="N10:N18" si="7">A10/G10</f>
        <v>4.0164029898103859</v>
      </c>
      <c r="O10">
        <f t="shared" ref="O10:O18" si="8">1/E10*2</f>
        <v>4.8971596474045045</v>
      </c>
      <c r="P10">
        <f t="shared" ref="P10:P18" si="9">1/E10</f>
        <v>2.4485798237022522</v>
      </c>
      <c r="R10">
        <f t="shared" ref="R10:R18" si="10">($T$49*($T$48^2)*A10)/(1+($T$49*A10*$T$48))</f>
        <v>0</v>
      </c>
    </row>
    <row r="11" spans="1:22" x14ac:dyDescent="0.25">
      <c r="A11">
        <v>30</v>
      </c>
      <c r="B11">
        <v>0.5252</v>
      </c>
      <c r="C11">
        <v>1.3426</v>
      </c>
      <c r="D11">
        <v>1.0725</v>
      </c>
      <c r="E11">
        <f t="shared" si="3"/>
        <v>0.98009999999999986</v>
      </c>
      <c r="F11">
        <f t="shared" si="4"/>
        <v>0.41646009412667656</v>
      </c>
      <c r="G11" s="3">
        <f t="shared" si="5"/>
        <v>4.9509950000000007</v>
      </c>
      <c r="H11">
        <f t="shared" ref="H11:H18" si="11">(F11/E11*G11)/300</f>
        <v>7.01252200020646E-3</v>
      </c>
      <c r="J11">
        <f>(($B$1-E11)/$B$1)*100</f>
        <v>99.019900000000007</v>
      </c>
      <c r="K11" t="e">
        <f t="shared" si="1"/>
        <v>#NUM!</v>
      </c>
      <c r="L11">
        <f>LOG(E11)</f>
        <v>-8.729610804900232E-3</v>
      </c>
      <c r="M11">
        <f t="shared" si="2"/>
        <v>13.035216801425831</v>
      </c>
      <c r="N11">
        <f t="shared" si="7"/>
        <v>6.0593880623995773</v>
      </c>
      <c r="O11">
        <f t="shared" si="8"/>
        <v>2.0406081012141621</v>
      </c>
      <c r="P11">
        <f t="shared" si="9"/>
        <v>1.0203040506070811</v>
      </c>
      <c r="R11">
        <f t="shared" si="10"/>
        <v>0</v>
      </c>
    </row>
    <row r="12" spans="1:22" x14ac:dyDescent="0.25">
      <c r="A12">
        <v>60</v>
      </c>
      <c r="B12">
        <v>1.8432599999999999</v>
      </c>
      <c r="C12">
        <v>3.1608999999999998</v>
      </c>
      <c r="D12">
        <v>2.0754000000000001</v>
      </c>
      <c r="E12">
        <f t="shared" si="3"/>
        <v>2.3598533333333331</v>
      </c>
      <c r="F12">
        <f t="shared" si="4"/>
        <v>0.70336979358892804</v>
      </c>
      <c r="G12" s="3">
        <f t="shared" si="5"/>
        <v>4.8820073333333331</v>
      </c>
      <c r="H12">
        <f t="shared" si="11"/>
        <v>4.8503812247460299E-3</v>
      </c>
      <c r="J12">
        <f t="shared" ref="J12:J18" si="12">(($B$1-E10)/$B$1)*100</f>
        <v>99.5916</v>
      </c>
      <c r="K12" t="e">
        <f t="shared" si="1"/>
        <v>#NUM!</v>
      </c>
      <c r="L12">
        <f t="shared" si="6"/>
        <v>0.37288501207885016</v>
      </c>
      <c r="M12">
        <f t="shared" si="2"/>
        <v>25.68008936916301</v>
      </c>
      <c r="N12">
        <f t="shared" si="7"/>
        <v>12.29002660244536</v>
      </c>
      <c r="O12">
        <f t="shared" si="8"/>
        <v>0.84751029725011162</v>
      </c>
      <c r="P12">
        <f t="shared" si="9"/>
        <v>0.42375514862505581</v>
      </c>
      <c r="R12">
        <f t="shared" si="10"/>
        <v>0</v>
      </c>
    </row>
    <row r="13" spans="1:22" x14ac:dyDescent="0.25">
      <c r="A13">
        <v>120</v>
      </c>
      <c r="B13">
        <v>2.5209000000000001</v>
      </c>
      <c r="C13">
        <v>2.0131999999999999</v>
      </c>
      <c r="D13">
        <v>2.7532000000000001</v>
      </c>
      <c r="E13">
        <f t="shared" si="3"/>
        <v>2.4291</v>
      </c>
      <c r="F13">
        <f t="shared" si="4"/>
        <v>0.37844475158204999</v>
      </c>
      <c r="G13" s="3">
        <f t="shared" si="5"/>
        <v>4.8785449999999999</v>
      </c>
      <c r="H13">
        <f t="shared" si="11"/>
        <v>2.5335305951543806E-3</v>
      </c>
      <c r="J13">
        <f t="shared" si="12"/>
        <v>99.019900000000007</v>
      </c>
      <c r="K13" t="e">
        <f t="shared" si="1"/>
        <v>#NUM!</v>
      </c>
      <c r="L13">
        <f t="shared" si="6"/>
        <v>0.38544539399584149</v>
      </c>
      <c r="M13">
        <f t="shared" si="2"/>
        <v>51.720503368487876</v>
      </c>
      <c r="N13">
        <f t="shared" si="7"/>
        <v>24.597497819534308</v>
      </c>
      <c r="O13">
        <f t="shared" si="8"/>
        <v>0.82335021201267955</v>
      </c>
      <c r="P13">
        <f t="shared" si="9"/>
        <v>0.41167510600633977</v>
      </c>
      <c r="R13">
        <f t="shared" si="10"/>
        <v>0</v>
      </c>
    </row>
    <row r="14" spans="1:22" x14ac:dyDescent="0.25">
      <c r="A14">
        <v>240</v>
      </c>
      <c r="B14">
        <v>1.3647</v>
      </c>
      <c r="C14">
        <v>0.13669999999999999</v>
      </c>
      <c r="D14">
        <v>2.4253999999999998</v>
      </c>
      <c r="E14">
        <f t="shared" si="3"/>
        <v>1.3089333333333333</v>
      </c>
      <c r="F14">
        <f t="shared" si="4"/>
        <v>1.1453686582639375</v>
      </c>
      <c r="G14" s="3">
        <f t="shared" si="5"/>
        <v>4.9345533333333336</v>
      </c>
      <c r="H14">
        <f t="shared" si="11"/>
        <v>1.4393100566700217E-2</v>
      </c>
      <c r="J14">
        <f t="shared" si="12"/>
        <v>97.640146666666666</v>
      </c>
      <c r="K14" t="e">
        <f t="shared" si="1"/>
        <v>#NUM!</v>
      </c>
      <c r="L14">
        <f t="shared" si="6"/>
        <v>0.11691752760288356</v>
      </c>
      <c r="M14">
        <f t="shared" si="2"/>
        <v>104.09497999736456</v>
      </c>
      <c r="N14">
        <f t="shared" si="7"/>
        <v>48.636620943739587</v>
      </c>
      <c r="O14">
        <f t="shared" si="8"/>
        <v>1.5279616990934095</v>
      </c>
      <c r="P14">
        <f t="shared" si="9"/>
        <v>0.76398084954670475</v>
      </c>
      <c r="R14">
        <f t="shared" si="10"/>
        <v>0</v>
      </c>
    </row>
    <row r="15" spans="1:22" x14ac:dyDescent="0.25">
      <c r="A15">
        <v>420</v>
      </c>
      <c r="B15">
        <v>0.96040000000000003</v>
      </c>
      <c r="C15">
        <v>0.59240000000000004</v>
      </c>
      <c r="D15">
        <v>0.50900000000000001</v>
      </c>
      <c r="E15">
        <f t="shared" si="3"/>
        <v>0.68726666666666658</v>
      </c>
      <c r="F15">
        <f t="shared" si="4"/>
        <v>0.24018795418033215</v>
      </c>
      <c r="G15" s="3">
        <f t="shared" si="5"/>
        <v>4.9656366666666667</v>
      </c>
      <c r="H15">
        <f t="shared" si="11"/>
        <v>5.7846838304855507E-3</v>
      </c>
      <c r="J15">
        <f t="shared" si="12"/>
        <v>97.570899999999995</v>
      </c>
      <c r="K15" t="e">
        <f t="shared" si="1"/>
        <v>#NUM!</v>
      </c>
      <c r="L15">
        <f t="shared" si="6"/>
        <v>-0.16287471943124071</v>
      </c>
      <c r="M15">
        <f t="shared" si="2"/>
        <v>182.53369538812427</v>
      </c>
      <c r="N15">
        <f t="shared" si="7"/>
        <v>84.581299074774563</v>
      </c>
      <c r="O15">
        <f t="shared" si="8"/>
        <v>2.9100785721214475</v>
      </c>
      <c r="P15">
        <f t="shared" si="9"/>
        <v>1.4550392860607237</v>
      </c>
      <c r="R15">
        <f t="shared" si="10"/>
        <v>0</v>
      </c>
    </row>
    <row r="16" spans="1:22" x14ac:dyDescent="0.25">
      <c r="A16">
        <v>720</v>
      </c>
      <c r="B16">
        <v>3.6700000000000003E-2</v>
      </c>
      <c r="C16">
        <v>2.7199999999999998E-2</v>
      </c>
      <c r="D16">
        <v>0.35099999999999998</v>
      </c>
      <c r="E16">
        <f t="shared" si="3"/>
        <v>0.13830000000000001</v>
      </c>
      <c r="F16">
        <f>STDEV(B16:D16)</f>
        <v>0.18426483658039586</v>
      </c>
      <c r="G16" s="3">
        <f t="shared" si="5"/>
        <v>4.9930849999999998</v>
      </c>
      <c r="H16">
        <f t="shared" si="11"/>
        <v>2.2175222741793822E-2</v>
      </c>
      <c r="J16">
        <f t="shared" si="12"/>
        <v>98.691066666666671</v>
      </c>
      <c r="K16" t="e">
        <f t="shared" si="1"/>
        <v>#NUM!</v>
      </c>
      <c r="L16">
        <f t="shared" si="6"/>
        <v>-0.85917781989068942</v>
      </c>
      <c r="M16">
        <f t="shared" si="2"/>
        <v>313.494870394793</v>
      </c>
      <c r="N16">
        <f t="shared" si="7"/>
        <v>144.19942780865938</v>
      </c>
      <c r="O16">
        <f t="shared" si="8"/>
        <v>14.461315979754158</v>
      </c>
      <c r="P16">
        <f t="shared" si="9"/>
        <v>7.2306579898770789</v>
      </c>
      <c r="R16">
        <f t="shared" si="10"/>
        <v>0</v>
      </c>
    </row>
    <row r="17" spans="1:18" x14ac:dyDescent="0.25">
      <c r="A17">
        <v>1440</v>
      </c>
      <c r="B17">
        <v>0.63300000000000001</v>
      </c>
      <c r="C17">
        <v>0.4743</v>
      </c>
      <c r="D17">
        <v>0.16880000000000001</v>
      </c>
      <c r="E17">
        <f>AVERAGE(B17:D17)</f>
        <v>0.42536666666666667</v>
      </c>
      <c r="F17">
        <f t="shared" si="4"/>
        <v>0.23593699017604966</v>
      </c>
      <c r="G17" s="3">
        <f t="shared" si="5"/>
        <v>4.9787316666666674</v>
      </c>
      <c r="H17">
        <f t="shared" si="11"/>
        <v>9.2051325470380134E-3</v>
      </c>
      <c r="J17">
        <f t="shared" si="12"/>
        <v>99.312733333333327</v>
      </c>
      <c r="K17" t="e">
        <f t="shared" si="1"/>
        <v>#NUM!</v>
      </c>
      <c r="L17">
        <f t="shared" si="6"/>
        <v>-0.37123654605042933</v>
      </c>
      <c r="M17">
        <f t="shared" si="2"/>
        <v>625.64262169585504</v>
      </c>
      <c r="N17">
        <f t="shared" si="7"/>
        <v>289.2302892403319</v>
      </c>
      <c r="O17">
        <f t="shared" si="8"/>
        <v>4.7018258757150697</v>
      </c>
      <c r="P17">
        <f t="shared" si="9"/>
        <v>2.3509129378575349</v>
      </c>
      <c r="R17">
        <f t="shared" si="10"/>
        <v>0</v>
      </c>
    </row>
    <row r="18" spans="1:18" x14ac:dyDescent="0.25">
      <c r="A18">
        <v>2880</v>
      </c>
      <c r="B18">
        <v>0.1105</v>
      </c>
      <c r="C18">
        <v>0.14779999999999999</v>
      </c>
      <c r="D18">
        <v>0.1105</v>
      </c>
      <c r="E18">
        <f t="shared" si="3"/>
        <v>0.12293333333333333</v>
      </c>
      <c r="F18">
        <f t="shared" si="4"/>
        <v>2.1535165040773175E-2</v>
      </c>
      <c r="G18" s="3">
        <f t="shared" si="5"/>
        <v>4.993853333333333</v>
      </c>
      <c r="H18">
        <f t="shared" si="11"/>
        <v>2.9160373026775647E-3</v>
      </c>
      <c r="J18">
        <f t="shared" si="12"/>
        <v>99.861699999999999</v>
      </c>
      <c r="K18" t="e">
        <f t="shared" si="1"/>
        <v>#NUM!</v>
      </c>
      <c r="L18">
        <f t="shared" si="6"/>
        <v>-0.91033034233807075</v>
      </c>
      <c r="M18">
        <f t="shared" si="2"/>
        <v>1251.4531006419472</v>
      </c>
      <c r="N18">
        <f t="shared" si="7"/>
        <v>576.70896755745071</v>
      </c>
      <c r="O18">
        <f t="shared" si="8"/>
        <v>16.26898047722343</v>
      </c>
      <c r="P18">
        <f t="shared" si="9"/>
        <v>8.1344902386117148</v>
      </c>
      <c r="R18">
        <f t="shared" si="10"/>
        <v>0</v>
      </c>
    </row>
  </sheetData>
  <mergeCells count="4">
    <mergeCell ref="B7:D7"/>
    <mergeCell ref="E7:E8"/>
    <mergeCell ref="F7:F8"/>
    <mergeCell ref="G7:G8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949BB24-9765-446A-9E61-5598C959FB41}"/>
</file>

<file path=customXml/itemProps2.xml><?xml version="1.0" encoding="utf-8"?>
<ds:datastoreItem xmlns:ds="http://schemas.openxmlformats.org/officeDocument/2006/customXml" ds:itemID="{C6F6E51D-E30D-4AF2-B0B8-997C00052860}">
  <ds:schemaRefs>
    <ds:schemaRef ds:uri="http://schemas.microsoft.com/office/2006/metadata/properties"/>
    <ds:schemaRef ds:uri="http://www.w3.org/2000/xmlns/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7C5EC498-02C0-4064-A89C-BEFA0DD9596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copper 10ppm</vt:lpstr>
      <vt:lpstr>Copper 100 ppm</vt:lpstr>
      <vt:lpstr>lead 10ppm </vt:lpstr>
      <vt:lpstr>Lead 100 ppm</vt:lpstr>
    </vt:vector>
  </TitlesOfParts>
  <Company>University of Leeds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Enemmoh</dc:creator>
  <cp:lastModifiedBy>Timothy Hunter</cp:lastModifiedBy>
  <dcterms:created xsi:type="dcterms:W3CDTF">2019-06-07T09:03:59Z</dcterms:created>
  <dcterms:modified xsi:type="dcterms:W3CDTF">2025-03-06T16:58:25Z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</Properties>
</file>