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leeds365-my.sharepoint.com/personal/cndcn_leeds_ac_uk/Documents/Research PhD/Research/Reading Output/PhD Analysis/Reseearch Outputs/CirCrete/RSER/"/>
    </mc:Choice>
  </mc:AlternateContent>
  <xr:revisionPtr revIDLastSave="11" documentId="8_{19B9535A-799F-469C-94C8-27D5112344C5}" xr6:coauthVersionLast="47" xr6:coauthVersionMax="47" xr10:uidLastSave="{9776D2E6-C822-461B-AB86-535C4BC397A3}"/>
  <bookViews>
    <workbookView xWindow="-110" yWindow="-110" windowWidth="19420" windowHeight="10300" xr2:uid="{D69A2667-8EAD-48B7-A439-C3E18766578D}"/>
  </bookViews>
  <sheets>
    <sheet name="Introduction" sheetId="8" r:id="rId1"/>
    <sheet name="New build case_for_reuse" sheetId="1" r:id="rId2"/>
    <sheet name="Carbonated cover_repair" sheetId="2" r:id="rId3"/>
    <sheet name="Inventory" sheetId="3" r:id="rId4"/>
    <sheet name="CirCrete Indicator Calculation" sheetId="4" r:id="rId5"/>
    <sheet name="Normalisation &amp; Aggregation" sheetId="5" r:id="rId6"/>
    <sheet name="Refurbishment case study" sheetId="7" r:id="rId7"/>
    <sheet name="Reference" sheetId="9" r:id="rId8"/>
  </sheet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1" i="4" l="1"/>
  <c r="AR10" i="4"/>
  <c r="AR9" i="4"/>
  <c r="AR8" i="4"/>
  <c r="AR7" i="4"/>
  <c r="AR6" i="4"/>
  <c r="AR5" i="4"/>
  <c r="AR4" i="4"/>
  <c r="R11" i="4"/>
  <c r="R10" i="4"/>
  <c r="R9" i="4"/>
  <c r="R8" i="4"/>
  <c r="R7" i="4"/>
  <c r="R6" i="4"/>
  <c r="F11" i="4"/>
  <c r="F10" i="4"/>
  <c r="F9" i="4"/>
  <c r="F8" i="4"/>
  <c r="F7" i="4"/>
  <c r="F6" i="4"/>
  <c r="O9" i="4"/>
  <c r="O6" i="4"/>
  <c r="O5" i="4"/>
  <c r="O4" i="4"/>
  <c r="C9" i="4"/>
  <c r="C6" i="4"/>
  <c r="C5" i="4"/>
  <c r="C4" i="4"/>
  <c r="E11" i="4"/>
  <c r="E10" i="4"/>
  <c r="E8" i="4"/>
  <c r="E7" i="4"/>
  <c r="E6" i="4"/>
  <c r="Q3" i="1"/>
  <c r="Q7" i="1"/>
  <c r="Q5" i="1"/>
  <c r="J6" i="5"/>
  <c r="K6" i="5"/>
  <c r="J7" i="5"/>
  <c r="K7" i="5"/>
  <c r="J8" i="5"/>
  <c r="K8" i="5"/>
  <c r="J9" i="5"/>
  <c r="K9" i="5"/>
  <c r="J10" i="5"/>
  <c r="K10" i="5"/>
  <c r="J11" i="5"/>
  <c r="K11" i="5"/>
  <c r="J12" i="5"/>
  <c r="K12" i="5"/>
  <c r="J5" i="5"/>
  <c r="K5" i="5"/>
  <c r="M8" i="1"/>
  <c r="Q8" i="2" s="1"/>
  <c r="AL14" i="4" l="1"/>
  <c r="AH10" i="4"/>
  <c r="AH11" i="4"/>
  <c r="AH14" i="4" l="1"/>
  <c r="AH7" i="4"/>
  <c r="AH8" i="4"/>
  <c r="E9" i="4"/>
  <c r="AF19" i="3" l="1"/>
  <c r="AF18" i="3"/>
  <c r="T20" i="3" l="1"/>
  <c r="T19" i="3"/>
  <c r="M21" i="3"/>
  <c r="M20" i="3"/>
  <c r="S6" i="3"/>
  <c r="S5" i="3"/>
  <c r="AD36" i="2" l="1"/>
  <c r="AE36" i="2"/>
  <c r="AF36" i="2"/>
  <c r="AD37" i="2"/>
  <c r="AE37" i="2"/>
  <c r="AF37" i="2"/>
  <c r="AD38" i="2"/>
  <c r="AE38" i="2"/>
  <c r="AF38" i="2"/>
  <c r="AH38" i="2" s="1"/>
  <c r="AD39" i="2"/>
  <c r="AE39" i="2"/>
  <c r="AF39" i="2"/>
  <c r="AF35" i="2"/>
  <c r="AE35" i="2"/>
  <c r="AD35" i="2"/>
  <c r="AE26" i="2"/>
  <c r="AE27" i="2"/>
  <c r="AE28" i="2"/>
  <c r="AE29" i="2"/>
  <c r="AE25" i="2"/>
  <c r="AF26" i="2"/>
  <c r="AH26" i="2" s="1"/>
  <c r="AF27" i="2"/>
  <c r="AF28" i="2"/>
  <c r="AF29" i="2"/>
  <c r="AF25" i="2"/>
  <c r="AF16" i="2"/>
  <c r="AF17" i="2"/>
  <c r="AF18" i="2"/>
  <c r="AF19" i="2"/>
  <c r="AF15" i="2"/>
  <c r="AD26" i="2"/>
  <c r="AD27" i="2"/>
  <c r="AD28" i="2"/>
  <c r="AD29" i="2"/>
  <c r="AD25" i="2"/>
  <c r="AE16" i="2"/>
  <c r="AE17" i="2"/>
  <c r="AE18" i="2"/>
  <c r="AE19" i="2"/>
  <c r="AD16" i="2"/>
  <c r="AD17" i="2"/>
  <c r="AD18" i="2"/>
  <c r="AD19" i="2"/>
  <c r="AE15" i="2"/>
  <c r="AD15" i="2"/>
  <c r="G37" i="2"/>
  <c r="F37" i="2"/>
  <c r="G30" i="2"/>
  <c r="F30" i="2"/>
  <c r="G23" i="2"/>
  <c r="F23" i="2"/>
  <c r="F16" i="2"/>
  <c r="I36" i="2"/>
  <c r="I37" i="2" s="1"/>
  <c r="H36" i="2"/>
  <c r="H37" i="2" s="1"/>
  <c r="I29" i="2"/>
  <c r="I30" i="2" s="1"/>
  <c r="H22" i="2"/>
  <c r="H23" i="2" s="1"/>
  <c r="H15" i="2"/>
  <c r="H16" i="2" s="1"/>
  <c r="G21" i="1"/>
  <c r="G14" i="1"/>
  <c r="H35" i="1"/>
  <c r="G35" i="1"/>
  <c r="H28" i="1"/>
  <c r="G16" i="2"/>
  <c r="E8" i="2"/>
  <c r="D8" i="2"/>
  <c r="C8" i="2"/>
  <c r="Y40" i="2"/>
  <c r="X39" i="2"/>
  <c r="W39" i="2"/>
  <c r="V39" i="2"/>
  <c r="X38" i="2"/>
  <c r="W38" i="2"/>
  <c r="V38" i="2"/>
  <c r="X37" i="2"/>
  <c r="W37" i="2"/>
  <c r="V37" i="2"/>
  <c r="X36" i="2"/>
  <c r="W36" i="2"/>
  <c r="V36" i="2"/>
  <c r="K36" i="2"/>
  <c r="M36" i="2" s="1"/>
  <c r="X35" i="2"/>
  <c r="W35" i="2"/>
  <c r="V35" i="2"/>
  <c r="Y30" i="2"/>
  <c r="X29" i="2"/>
  <c r="W29" i="2"/>
  <c r="V29" i="2"/>
  <c r="K29" i="2"/>
  <c r="M29" i="2" s="1"/>
  <c r="H29" i="2"/>
  <c r="H30" i="2" s="1"/>
  <c r="X28" i="2"/>
  <c r="W28" i="2"/>
  <c r="V28" i="2"/>
  <c r="X27" i="2"/>
  <c r="W27" i="2"/>
  <c r="V27" i="2"/>
  <c r="X26" i="2"/>
  <c r="W26" i="2"/>
  <c r="V26" i="2"/>
  <c r="X25" i="2"/>
  <c r="W25" i="2"/>
  <c r="V25" i="2"/>
  <c r="K22" i="2"/>
  <c r="M22" i="2" s="1"/>
  <c r="I22" i="2"/>
  <c r="I23" i="2" s="1"/>
  <c r="Y20" i="2"/>
  <c r="X19" i="2"/>
  <c r="W19" i="2"/>
  <c r="V19" i="2"/>
  <c r="X18" i="2"/>
  <c r="W18" i="2"/>
  <c r="V18" i="2"/>
  <c r="X17" i="2"/>
  <c r="W17" i="2"/>
  <c r="V17" i="2"/>
  <c r="X16" i="2"/>
  <c r="W16" i="2"/>
  <c r="V16" i="2"/>
  <c r="X15" i="2"/>
  <c r="W15" i="2"/>
  <c r="V15" i="2"/>
  <c r="K15" i="2"/>
  <c r="M15" i="2" s="1"/>
  <c r="I15" i="2"/>
  <c r="I16" i="2" s="1"/>
  <c r="I7" i="2"/>
  <c r="F7" i="2"/>
  <c r="H7" i="2" s="1"/>
  <c r="X39" i="1"/>
  <c r="U35" i="1"/>
  <c r="V35" i="1"/>
  <c r="W35" i="1"/>
  <c r="U36" i="1"/>
  <c r="V36" i="1"/>
  <c r="W36" i="1"/>
  <c r="U37" i="1"/>
  <c r="V37" i="1"/>
  <c r="W37" i="1"/>
  <c r="U38" i="1"/>
  <c r="V38" i="1"/>
  <c r="W38" i="1"/>
  <c r="W34" i="1"/>
  <c r="W39" i="1" s="1"/>
  <c r="V34" i="1"/>
  <c r="V39" i="1" s="1"/>
  <c r="U34" i="1"/>
  <c r="X29" i="1"/>
  <c r="W25" i="1"/>
  <c r="W26" i="1"/>
  <c r="W27" i="1"/>
  <c r="W28" i="1"/>
  <c r="W24" i="1"/>
  <c r="W29" i="1" s="1"/>
  <c r="V25" i="1"/>
  <c r="V26" i="1"/>
  <c r="V27" i="1"/>
  <c r="V28" i="1"/>
  <c r="V24" i="1"/>
  <c r="V29" i="1" s="1"/>
  <c r="U25" i="1"/>
  <c r="U26" i="1"/>
  <c r="U27" i="1"/>
  <c r="U28" i="1"/>
  <c r="U24" i="1"/>
  <c r="X19" i="1"/>
  <c r="W18" i="1"/>
  <c r="V18" i="1"/>
  <c r="U18" i="1"/>
  <c r="W17" i="1"/>
  <c r="V17" i="1"/>
  <c r="U17" i="1"/>
  <c r="W16" i="1"/>
  <c r="V16" i="1"/>
  <c r="U16" i="1"/>
  <c r="W15" i="1"/>
  <c r="V15" i="1"/>
  <c r="U15" i="1"/>
  <c r="U14" i="1"/>
  <c r="V14" i="1"/>
  <c r="W14" i="1"/>
  <c r="W19" i="1" s="1"/>
  <c r="H7" i="1"/>
  <c r="M21" i="1"/>
  <c r="M14" i="1"/>
  <c r="E7" i="1"/>
  <c r="G7" i="1" s="1"/>
  <c r="J35" i="1"/>
  <c r="L35" i="1" s="1"/>
  <c r="J28" i="1"/>
  <c r="L28" i="1" s="1"/>
  <c r="J21" i="1"/>
  <c r="L21" i="1" s="1"/>
  <c r="J14" i="1"/>
  <c r="L14" i="1" s="1"/>
  <c r="G28" i="1"/>
  <c r="H21" i="1"/>
  <c r="I21" i="1"/>
  <c r="H14" i="1"/>
  <c r="N16" i="2" l="1"/>
  <c r="N30" i="2"/>
  <c r="AG29" i="2"/>
  <c r="AH29" i="2"/>
  <c r="AH39" i="2"/>
  <c r="J23" i="2"/>
  <c r="N23" i="2"/>
  <c r="AG28" i="2"/>
  <c r="AH28" i="2"/>
  <c r="I8" i="2"/>
  <c r="I9" i="2" s="1"/>
  <c r="AH15" i="2"/>
  <c r="AG37" i="2"/>
  <c r="AH37" i="2"/>
  <c r="AH19" i="2"/>
  <c r="N37" i="2"/>
  <c r="AH18" i="2"/>
  <c r="AH17" i="2"/>
  <c r="AG36" i="2"/>
  <c r="AH36" i="2"/>
  <c r="AG27" i="2"/>
  <c r="AH27" i="2"/>
  <c r="AH16" i="2"/>
  <c r="AG25" i="2"/>
  <c r="AH25" i="2"/>
  <c r="AG35" i="2"/>
  <c r="AH35" i="2"/>
  <c r="M28" i="1"/>
  <c r="V19" i="1"/>
  <c r="Q6" i="1"/>
  <c r="M35" i="1"/>
  <c r="Q2" i="1" s="1"/>
  <c r="M7" i="1" s="1"/>
  <c r="M6" i="1"/>
  <c r="Q4" i="1"/>
  <c r="M5" i="1" s="1"/>
  <c r="AG17" i="2"/>
  <c r="AG16" i="2"/>
  <c r="N29" i="2"/>
  <c r="AG26" i="2"/>
  <c r="AG39" i="2"/>
  <c r="J37" i="2"/>
  <c r="AG15" i="2"/>
  <c r="J16" i="2"/>
  <c r="AG19" i="2"/>
  <c r="AG18" i="2"/>
  <c r="AG38" i="2"/>
  <c r="J30" i="2"/>
  <c r="N36" i="2"/>
  <c r="N38" i="2" s="1"/>
  <c r="F8" i="2"/>
  <c r="F9" i="2" s="1"/>
  <c r="X20" i="2"/>
  <c r="W40" i="2"/>
  <c r="N22" i="2"/>
  <c r="J29" i="2"/>
  <c r="J15" i="2"/>
  <c r="X40" i="2"/>
  <c r="W30" i="2"/>
  <c r="X30" i="2"/>
  <c r="W20" i="2"/>
  <c r="V3" i="2"/>
  <c r="N15" i="2"/>
  <c r="N17" i="2" s="1"/>
  <c r="J36" i="2"/>
  <c r="J22" i="2"/>
  <c r="I14" i="1"/>
  <c r="I35" i="1"/>
  <c r="I28" i="1"/>
  <c r="N24" i="2" l="1"/>
  <c r="AG30" i="2"/>
  <c r="J24" i="2"/>
  <c r="AG21" i="2"/>
  <c r="AG31" i="2"/>
  <c r="J17" i="2"/>
  <c r="AH30" i="2"/>
  <c r="AH31" i="2" s="1"/>
  <c r="N31" i="2"/>
  <c r="J38" i="2"/>
  <c r="V2" i="2" s="1"/>
  <c r="AG20" i="2"/>
  <c r="Q7" i="2"/>
  <c r="AG40" i="2"/>
  <c r="AH40" i="2"/>
  <c r="AH41" i="2" s="1"/>
  <c r="AH20" i="2"/>
  <c r="AH21" i="2" s="1"/>
  <c r="Q6" i="2" s="1"/>
  <c r="AG41" i="2"/>
  <c r="J31" i="2"/>
  <c r="M2" i="1"/>
  <c r="AG7" i="4" l="1"/>
  <c r="AI7" i="4" s="1"/>
  <c r="D8" i="5" s="1"/>
  <c r="U10" i="4"/>
  <c r="I10" i="4"/>
  <c r="I7" i="4"/>
  <c r="U7" i="4"/>
  <c r="AG10" i="4"/>
  <c r="AL4" i="4"/>
  <c r="AO4" i="4"/>
  <c r="Q8" i="4"/>
  <c r="Q7" i="4"/>
  <c r="Q6" i="4"/>
  <c r="Q9" i="4" s="1"/>
  <c r="AO5" i="4"/>
  <c r="AL5" i="4"/>
  <c r="M4" i="1"/>
  <c r="M3" i="1"/>
  <c r="N4" i="4"/>
  <c r="N5" i="4"/>
  <c r="B4" i="4"/>
  <c r="B5" i="4"/>
  <c r="V4" i="2"/>
  <c r="Q2" i="2" s="1"/>
  <c r="N6" i="4" s="1"/>
  <c r="B9" i="4" l="1"/>
  <c r="S9" i="4"/>
  <c r="AL6" i="4"/>
  <c r="AL9" i="4"/>
  <c r="S6" i="4"/>
  <c r="Q4" i="2"/>
  <c r="Q3" i="2"/>
  <c r="B6" i="4"/>
  <c r="N9" i="4"/>
  <c r="Q11" i="4"/>
  <c r="Q10" i="4"/>
  <c r="AI10" i="4"/>
  <c r="U6" i="4"/>
  <c r="U9" i="4"/>
  <c r="I9" i="4"/>
  <c r="I6" i="4"/>
  <c r="AO11" i="4"/>
  <c r="AO8" i="4"/>
  <c r="S10" i="4"/>
  <c r="U14" i="4" s="1"/>
  <c r="AO10" i="4"/>
  <c r="AO7" i="4"/>
  <c r="T11" i="4"/>
  <c r="S7" i="4"/>
  <c r="G7" i="4"/>
  <c r="T8" i="4"/>
  <c r="H8" i="4"/>
  <c r="G10" i="4"/>
  <c r="I14" i="4" s="1"/>
  <c r="H11" i="4"/>
  <c r="AT4" i="4"/>
  <c r="E5" i="5" s="1"/>
  <c r="P4" i="4"/>
  <c r="V4" i="4" s="1"/>
  <c r="W4" i="4" s="1"/>
  <c r="C5" i="5" s="1"/>
  <c r="Z4" i="4"/>
  <c r="D4" i="4"/>
  <c r="J4" i="4" s="1"/>
  <c r="K4" i="4" s="1"/>
  <c r="B5" i="5" s="1"/>
  <c r="Z5" i="4"/>
  <c r="AH5" i="4" s="1"/>
  <c r="AI5" i="4" s="1"/>
  <c r="D6" i="5" s="1"/>
  <c r="AT5" i="4"/>
  <c r="E6" i="5" s="1"/>
  <c r="P5" i="4"/>
  <c r="V5" i="4" s="1"/>
  <c r="W5" i="4" s="1"/>
  <c r="C6" i="5" s="1"/>
  <c r="D5" i="4"/>
  <c r="J5" i="4" s="1"/>
  <c r="K5" i="4" s="1"/>
  <c r="B6" i="5" s="1"/>
  <c r="V7" i="4" l="1"/>
  <c r="W7" i="4" s="1"/>
  <c r="C8" i="5" s="1"/>
  <c r="AR12" i="4"/>
  <c r="V8" i="4"/>
  <c r="W8" i="4" s="1"/>
  <c r="C9" i="5" s="1"/>
  <c r="J10" i="4"/>
  <c r="K10" i="4" s="1"/>
  <c r="J8" i="4"/>
  <c r="K8" i="4" s="1"/>
  <c r="B9" i="5" s="1"/>
  <c r="AT11" i="4"/>
  <c r="AR14" i="4"/>
  <c r="G9" i="4"/>
  <c r="J9" i="4" s="1"/>
  <c r="G6" i="4"/>
  <c r="AE6" i="4"/>
  <c r="AH6" i="4" s="1"/>
  <c r="AL13" i="4"/>
  <c r="AL12" i="4"/>
  <c r="V6" i="4"/>
  <c r="W6" i="4" s="1"/>
  <c r="C7" i="5" s="1"/>
  <c r="AE9" i="4"/>
  <c r="AG9" i="4" s="1"/>
  <c r="V9" i="4"/>
  <c r="W9" i="4" s="1"/>
  <c r="AO6" i="4"/>
  <c r="AT6" i="4" s="1"/>
  <c r="E7" i="5" s="1"/>
  <c r="AO9" i="4"/>
  <c r="AT8" i="4"/>
  <c r="E9" i="5" s="1"/>
  <c r="AG11" i="4"/>
  <c r="AH4" i="4"/>
  <c r="AI4" i="4" s="1"/>
  <c r="D5" i="5" s="1"/>
  <c r="AG8" i="4"/>
  <c r="AI8" i="4" s="1"/>
  <c r="D9" i="5" s="1"/>
  <c r="V10" i="4"/>
  <c r="I12" i="4"/>
  <c r="I13" i="4"/>
  <c r="AT7" i="4"/>
  <c r="E8" i="5" s="1"/>
  <c r="U13" i="4"/>
  <c r="U12" i="4"/>
  <c r="AT10" i="4"/>
  <c r="AO14" i="4"/>
  <c r="V11" i="4"/>
  <c r="W11" i="4" s="1"/>
  <c r="J11" i="4"/>
  <c r="K11" i="4" s="1"/>
  <c r="J7" i="4"/>
  <c r="K7" i="4" s="1"/>
  <c r="B8" i="5" s="1"/>
  <c r="AR13" i="4"/>
  <c r="K14" i="4" l="1"/>
  <c r="B12" i="5" s="1"/>
  <c r="AT14" i="4"/>
  <c r="E12" i="5" s="1"/>
  <c r="J14" i="4"/>
  <c r="V13" i="4"/>
  <c r="W13" i="4" s="1"/>
  <c r="C11" i="5" s="1"/>
  <c r="V12" i="4"/>
  <c r="W12" i="4" s="1"/>
  <c r="C10" i="5" s="1"/>
  <c r="AH9" i="4"/>
  <c r="AH12" i="4" s="1"/>
  <c r="J12" i="4"/>
  <c r="K9" i="4"/>
  <c r="K13" i="4" s="1"/>
  <c r="B11" i="5" s="1"/>
  <c r="AG6" i="4"/>
  <c r="AI6" i="4" s="1"/>
  <c r="D7" i="5" s="1"/>
  <c r="J6" i="4"/>
  <c r="K6" i="4" s="1"/>
  <c r="B7" i="5" s="1"/>
  <c r="V14" i="4"/>
  <c r="W14" i="4" s="1"/>
  <c r="C12" i="5" s="1"/>
  <c r="W10" i="4"/>
  <c r="AI11" i="4"/>
  <c r="AG14" i="4"/>
  <c r="AI14" i="4" s="1"/>
  <c r="D12" i="5" s="1"/>
  <c r="J13" i="4"/>
  <c r="AT9" i="4"/>
  <c r="AO12" i="4"/>
  <c r="AT12" i="4" s="1"/>
  <c r="E10" i="5" s="1"/>
  <c r="AO13" i="4"/>
  <c r="AT13" i="4" s="1"/>
  <c r="E11" i="5" s="1"/>
  <c r="AG13" i="4"/>
  <c r="AG12" i="4"/>
  <c r="K12" i="4" l="1"/>
  <c r="B10" i="5" s="1"/>
  <c r="F7" i="5" s="1"/>
  <c r="AI12" i="4"/>
  <c r="D10" i="5" s="1"/>
  <c r="G9" i="5"/>
  <c r="AI9" i="4"/>
  <c r="AH13" i="4"/>
  <c r="AI13" i="4" s="1"/>
  <c r="D11" i="5" s="1"/>
  <c r="I7" i="5"/>
  <c r="G12" i="5"/>
  <c r="I11" i="5"/>
  <c r="G5" i="5"/>
  <c r="I9" i="5"/>
  <c r="I6" i="5"/>
  <c r="G6" i="5"/>
  <c r="G7" i="5"/>
  <c r="I10" i="5"/>
  <c r="I5" i="5"/>
  <c r="I8" i="5"/>
  <c r="G8" i="5"/>
  <c r="I12" i="5"/>
  <c r="G10" i="5"/>
  <c r="G11" i="5"/>
  <c r="F11" i="5" l="1"/>
  <c r="F8" i="5"/>
  <c r="F5" i="5"/>
  <c r="F10" i="5"/>
  <c r="F9" i="5"/>
  <c r="F6" i="5"/>
  <c r="F12" i="5"/>
  <c r="H9" i="5"/>
  <c r="H5" i="5"/>
  <c r="H10" i="5"/>
  <c r="H7" i="5"/>
  <c r="N7" i="5" s="1"/>
  <c r="P12" i="5"/>
  <c r="H11" i="5"/>
  <c r="H6" i="5"/>
  <c r="H8" i="5"/>
  <c r="H12" i="5"/>
  <c r="P9" i="5"/>
  <c r="P11" i="5"/>
  <c r="R8" i="5"/>
  <c r="R5" i="5"/>
  <c r="R10" i="5"/>
  <c r="P7" i="5"/>
  <c r="R9" i="5"/>
  <c r="P10" i="5"/>
  <c r="R6" i="5"/>
  <c r="R12" i="5"/>
  <c r="R7" i="5"/>
  <c r="R11" i="5"/>
  <c r="P6" i="5"/>
  <c r="P8" i="5"/>
  <c r="P5" i="5"/>
  <c r="N10" i="5" l="1"/>
  <c r="N11" i="5"/>
  <c r="O8" i="5"/>
  <c r="N8" i="5"/>
  <c r="O7" i="5"/>
  <c r="O10" i="5"/>
  <c r="O12" i="5"/>
  <c r="N5" i="5"/>
  <c r="N9" i="5"/>
  <c r="O11" i="5"/>
  <c r="O5" i="5"/>
  <c r="O6" i="5"/>
  <c r="N12" i="5"/>
  <c r="O9" i="5"/>
  <c r="N6" i="5"/>
  <c r="Q5" i="5"/>
  <c r="Q9" i="5"/>
  <c r="Q7" i="5"/>
  <c r="Q10" i="5"/>
  <c r="Q11" i="5"/>
  <c r="Q8" i="5"/>
  <c r="Q6" i="5"/>
  <c r="Q12" i="5"/>
  <c r="S9" i="5" l="1"/>
  <c r="S7" i="5"/>
  <c r="S12" i="5"/>
  <c r="S6" i="5"/>
  <c r="S5" i="5"/>
  <c r="S8" i="5"/>
  <c r="S10" i="5"/>
  <c r="S11" i="5"/>
</calcChain>
</file>

<file path=xl/sharedStrings.xml><?xml version="1.0" encoding="utf-8"?>
<sst xmlns="http://schemas.openxmlformats.org/spreadsheetml/2006/main" count="703" uniqueCount="280">
  <si>
    <t>Total No</t>
  </si>
  <si>
    <t>h</t>
  </si>
  <si>
    <t>b</t>
  </si>
  <si>
    <t>Internal Beams Along X</t>
  </si>
  <si>
    <t>Outer beams</t>
  </si>
  <si>
    <t>Inner beams</t>
  </si>
  <si>
    <t>Total No of beams</t>
  </si>
  <si>
    <t>Length of each outer beam</t>
  </si>
  <si>
    <t>Length of each inner beam</t>
  </si>
  <si>
    <t>Full beam length</t>
  </si>
  <si>
    <t>Internal Beams Along Y</t>
  </si>
  <si>
    <t>Edge Beams Along X</t>
  </si>
  <si>
    <t>Edge Beams Along Y</t>
  </si>
  <si>
    <t>Total Beam Vol</t>
  </si>
  <si>
    <t>Total X-length</t>
  </si>
  <si>
    <t>Tonnage</t>
  </si>
  <si>
    <t>Steel Rebar (kg/m3)</t>
  </si>
  <si>
    <t>Total Y-length</t>
  </si>
  <si>
    <t>SLAB</t>
  </si>
  <si>
    <t>MATERIAL QUANTITIES</t>
  </si>
  <si>
    <t>INTERNAL COLUMNS</t>
  </si>
  <si>
    <t>Lift</t>
  </si>
  <si>
    <t>No</t>
  </si>
  <si>
    <t>Net Length</t>
  </si>
  <si>
    <t xml:space="preserve">Gross Length </t>
  </si>
  <si>
    <t>EDGE COLUMNS</t>
  </si>
  <si>
    <t>CORNER COLUMNS</t>
  </si>
  <si>
    <t>Total No of floors</t>
  </si>
  <si>
    <t>Carbonated</t>
  </si>
  <si>
    <t>Non-carbonated</t>
  </si>
  <si>
    <t>Repair amount</t>
  </si>
  <si>
    <r>
      <rPr>
        <b/>
        <sz val="11"/>
        <color theme="1"/>
        <rFont val="Calibri"/>
        <family val="2"/>
        <scheme val="minor"/>
      </rPr>
      <t>NOTES</t>
    </r>
    <r>
      <rPr>
        <sz val="11"/>
        <color theme="1"/>
        <rFont val="Calibri"/>
        <family val="2"/>
        <scheme val="minor"/>
      </rPr>
      <t xml:space="preserve">: (1) Length of X-axis edge beams are shortchanged along Y-axis edge beams to prevent double volume counting due to monolithic casting. (2) Length of X-axis internal beams are shortchanged along both Y-axis edge and internal beams to prevent double volume counting. (3) Length of Y-axis internal beams are shortchanged along X-axis edge beams to prevent double counting. </t>
    </r>
  </si>
  <si>
    <r>
      <rPr>
        <b/>
        <sz val="11"/>
        <color theme="1"/>
        <rFont val="Calibri"/>
        <family val="2"/>
        <scheme val="minor"/>
      </rPr>
      <t>Exposure Assumptions:</t>
    </r>
    <r>
      <rPr>
        <sz val="11"/>
        <color theme="1"/>
        <rFont val="Calibri"/>
        <family val="2"/>
        <scheme val="minor"/>
      </rPr>
      <t xml:space="preserve"> (1) All internal beams &amp; columns, and slabs assumed to be XC3 class hence c=25 mm (S4) for beam/column and c=20 mm (S3) for slab. (2) All external beams and columns assumed to be XC4 class hence c=30 mm (S4) under 50 yrs working life.</t>
    </r>
  </si>
  <si>
    <t>INTERNAL COLUMNS (carbonated)</t>
  </si>
  <si>
    <t>INTERNAL COLUMNS (non-carbonated)</t>
  </si>
  <si>
    <t>EDGE COLUMNS (non-carbonated)</t>
  </si>
  <si>
    <t>CORNER COLUMNS (non-carbonated)</t>
  </si>
  <si>
    <t>EDGE COLUMNS (carbonated)</t>
  </si>
  <si>
    <t>CORNER COLUMNS (carbonated)</t>
  </si>
  <si>
    <t>Total Col Vol</t>
  </si>
  <si>
    <t>Total form</t>
  </si>
  <si>
    <t>Demolish &amp; Landfill</t>
  </si>
  <si>
    <t>C1</t>
  </si>
  <si>
    <t>RICS 2023</t>
  </si>
  <si>
    <t>C2</t>
  </si>
  <si>
    <t>REMARK</t>
  </si>
  <si>
    <t>C3</t>
  </si>
  <si>
    <t>C4</t>
  </si>
  <si>
    <t>Hopkinson et al 2019</t>
  </si>
  <si>
    <t>Demolish &amp; Recycle</t>
  </si>
  <si>
    <t>Emission source</t>
  </si>
  <si>
    <t>Unit</t>
  </si>
  <si>
    <t>Reference</t>
  </si>
  <si>
    <t>Calcined clay</t>
  </si>
  <si>
    <t>Fine aggregate</t>
  </si>
  <si>
    <t>Coarse aggregate</t>
  </si>
  <si>
    <t>Superplasticizer</t>
  </si>
  <si>
    <t>Limestone powder</t>
  </si>
  <si>
    <t>Steel rebar fyk = 500N/mm2</t>
  </si>
  <si>
    <t>MPA Average CEM I EPD</t>
  </si>
  <si>
    <t>BEIS 2023</t>
  </si>
  <si>
    <t>A1-A3 value</t>
  </si>
  <si>
    <t>Water</t>
  </si>
  <si>
    <t>ICE Version 3.0</t>
  </si>
  <si>
    <t>ECO2 Tool (Hafez et al 2021)</t>
  </si>
  <si>
    <t>MPA Factsheet 18</t>
  </si>
  <si>
    <t>Cement (CEM I)</t>
  </si>
  <si>
    <t>Steel density</t>
  </si>
  <si>
    <t>C30/37 for CEM I</t>
  </si>
  <si>
    <t>C30/37 for CEM II C-M (LC3)</t>
  </si>
  <si>
    <t>Constituent</t>
  </si>
  <si>
    <t>Concrete Mix Design (PreBCC database, Hafez et al 2022)</t>
  </si>
  <si>
    <t>SCENARIO</t>
  </si>
  <si>
    <t>A1-A3</t>
  </si>
  <si>
    <t>A4</t>
  </si>
  <si>
    <t>A5</t>
  </si>
  <si>
    <t>New Build CEM I</t>
  </si>
  <si>
    <t>New Build CEM II C-M</t>
  </si>
  <si>
    <t>TOTAL</t>
  </si>
  <si>
    <t>Total steel</t>
  </si>
  <si>
    <t>tonnes</t>
  </si>
  <si>
    <t xml:space="preserve">Total concrete </t>
  </si>
  <si>
    <t xml:space="preserve">Deconstruct, Repair &amp; Reuse CEM I </t>
  </si>
  <si>
    <t>Computed</t>
  </si>
  <si>
    <t>Total conc CEM I</t>
  </si>
  <si>
    <t>Total conc CEM II C-M</t>
  </si>
  <si>
    <t>MJ/kg</t>
  </si>
  <si>
    <t>OPC</t>
  </si>
  <si>
    <t>Steel production</t>
  </si>
  <si>
    <t>Large truck</t>
  </si>
  <si>
    <t>value</t>
  </si>
  <si>
    <t>Concrete construction</t>
  </si>
  <si>
    <t>MJ/t.km</t>
  </si>
  <si>
    <t>Life Cycle Inventory</t>
  </si>
  <si>
    <t>Inventory Data (GWP)</t>
  </si>
  <si>
    <t>Inventory Data (Energy Demand)</t>
  </si>
  <si>
    <t>UK CARES (2023) EPD</t>
  </si>
  <si>
    <t>MJ/t</t>
  </si>
  <si>
    <t>https://www.europeanbusinessreview.com/demolition-cost-2022-price-guide-uk/</t>
  </si>
  <si>
    <t>https://www.gov.uk/government/publications/rates-and-allowances-landfill-tax/landfill-tax-rates-from-1-april-2013</t>
  </si>
  <si>
    <t>UK Landfill tax</t>
  </si>
  <si>
    <t>£/t</t>
  </si>
  <si>
    <t>Secondary Inventory Data</t>
  </si>
  <si>
    <t>Construction cost - concrete</t>
  </si>
  <si>
    <t>Construction cost - steel</t>
  </si>
  <si>
    <t>MPA CONCEPT DESIGN TOOL</t>
  </si>
  <si>
    <t>Construction cost - vertical formwork</t>
  </si>
  <si>
    <t xml:space="preserve">Construction cost - horizontal formwork </t>
  </si>
  <si>
    <t>Total H-form</t>
  </si>
  <si>
    <t>Total V-form</t>
  </si>
  <si>
    <t>DEFINITION</t>
  </si>
  <si>
    <t>A new construction on virgin site with CEM I concrete for the structural frame</t>
  </si>
  <si>
    <t>A new construction on virgin site with CEM II C-M concrete for the structural frame</t>
  </si>
  <si>
    <t xml:space="preserve">Building is demolished at end of life, and crushed material are transported to recycling facilities 50 km away </t>
  </si>
  <si>
    <t xml:space="preserve">Building is demolished at end of life, and transported to landfill site 50 km away </t>
  </si>
  <si>
    <t>CEM 1</t>
  </si>
  <si>
    <t>Calcined Clay</t>
  </si>
  <si>
    <t>Lime Powder</t>
  </si>
  <si>
    <t>Natural Coarse</t>
  </si>
  <si>
    <t>Natural Fine</t>
  </si>
  <si>
    <t>SP</t>
  </si>
  <si>
    <t>Steel</t>
  </si>
  <si>
    <t>Material Cost Data</t>
  </si>
  <si>
    <t>Cost source</t>
  </si>
  <si>
    <t>£/kg</t>
  </si>
  <si>
    <t>https://costmodelling.com/building-costs</t>
  </si>
  <si>
    <t>Average cost of non-air conditioned 5-storey UK office building is 2420 £/m2 GIA and includes sub &amp; superstructure, finishes, furnitures &amp; fittings, services, Contractor's overheads &amp; preliminary works</t>
  </si>
  <si>
    <t>D</t>
  </si>
  <si>
    <t>Ohemeng and Ekolu 2020</t>
  </si>
  <si>
    <t>Recycling cost - concrete for CRCA</t>
  </si>
  <si>
    <t>Recycling CRCA - crushing &amp; sieving</t>
  </si>
  <si>
    <t>Rosado et al 2017</t>
  </si>
  <si>
    <t>Concrete deconstruction for reuse</t>
  </si>
  <si>
    <t>Concrete demolition for recycling</t>
  </si>
  <si>
    <t>Concrete demolition for disposal</t>
  </si>
  <si>
    <t>Concrete transport by road in UK</t>
  </si>
  <si>
    <t>Steel transport by road in UK</t>
  </si>
  <si>
    <t>km</t>
  </si>
  <si>
    <t>Hart et al 2021</t>
  </si>
  <si>
    <t>Disposal to landfill UK</t>
  </si>
  <si>
    <t>Transport to Recycling plant</t>
  </si>
  <si>
    <t>Assumed</t>
  </si>
  <si>
    <t>Transport to Reuse site</t>
  </si>
  <si>
    <t>Metal disposal/reuse</t>
  </si>
  <si>
    <t>TOTAL A-C</t>
  </si>
  <si>
    <t>NET</t>
  </si>
  <si>
    <t>Road truck (HGV diesel average-laden UK)</t>
  </si>
  <si>
    <t>Road truck (HGV diesel 0% laden UK)</t>
  </si>
  <si>
    <t>Waste rate for concrete &amp; steel</t>
  </si>
  <si>
    <t>%</t>
  </si>
  <si>
    <t>Demolition/deconstruction cost</t>
  </si>
  <si>
    <t>Concrete disposal/reuse</t>
  </si>
  <si>
    <t>Concrete demolition/deconstruction</t>
  </si>
  <si>
    <t>Steel reinforcement disposal</t>
  </si>
  <si>
    <t>Concrete disposal to landfill</t>
  </si>
  <si>
    <t>Recycling efficiency</t>
  </si>
  <si>
    <t>Zhang et al., 2023</t>
  </si>
  <si>
    <t>£/tkm</t>
  </si>
  <si>
    <t>https://www.returnloads.net/how-to-price-haulage-work/</t>
  </si>
  <si>
    <t>HGV transport cost (44 t)</t>
  </si>
  <si>
    <t>Repair &amp; reuse of reinforced concrete</t>
  </si>
  <si>
    <t xml:space="preserve">50% Deconstruct, Repair &amp; Reuse CEM I </t>
  </si>
  <si>
    <t>50% recycle</t>
  </si>
  <si>
    <t>50% landfill</t>
  </si>
  <si>
    <t>MPA BRMCA generic EPD 2018</t>
  </si>
  <si>
    <t>Xia et al., 2020</t>
  </si>
  <si>
    <t>Scenario</t>
  </si>
  <si>
    <t>Carbon</t>
  </si>
  <si>
    <t>Energy</t>
  </si>
  <si>
    <t>Resourse</t>
  </si>
  <si>
    <t>Cost</t>
  </si>
  <si>
    <t>Net Indicator value</t>
  </si>
  <si>
    <t>S1</t>
  </si>
  <si>
    <t>S2</t>
  </si>
  <si>
    <t>S3</t>
  </si>
  <si>
    <t>S4</t>
  </si>
  <si>
    <t>S5</t>
  </si>
  <si>
    <t>S3-4</t>
  </si>
  <si>
    <t>S3-5</t>
  </si>
  <si>
    <t>S4-5</t>
  </si>
  <si>
    <t>Circularity</t>
  </si>
  <si>
    <t>Ranking</t>
  </si>
  <si>
    <t>Computed as per Hafez et al 2021</t>
  </si>
  <si>
    <t>Internal Floor Area</t>
  </si>
  <si>
    <t>(a)</t>
  </si>
  <si>
    <t>(b)</t>
  </si>
  <si>
    <t>2) Carbonated cover_repair - this worksheet contains the required material quantity information for the components of the structural elements that have undergone carbonation for a predetermined exposure condition. The structural elements are the same as those in the New build case_for_reuse worksheet. The material quantitiy presented in this worksheet are those required to repair the concrete structural elements before reuse.</t>
  </si>
  <si>
    <t>3) Inventory - this worksheet contains the required information for the concrete mix design considered and the life cycle inventory information for computation of the CirCrete indicators. Various sources have been used for preparation of the inventory as detailed. The full reference details are provided in the original paper. A description of the core scenarios considered in the original paper is also given and the potential sources of uncertainties involved in the computation of the CirCrete indicators, which must be accounted for in the case of an actual project are also detailed as a disclaimer for the user of this tool.</t>
  </si>
  <si>
    <t>4) CirCrete Inidcator Calculation - this worksheet contains the detailed step-by-step information and formulas used for the calculation of the CirCrete indicators for each of the eight scenarios considered in the original paper. The indicators calculated include carbon emission, energy demand, resource use (primary input materials), and cost (material, transport and site activities).</t>
  </si>
  <si>
    <t>5) Normalisation &amp; Aggregation - this worksheet contains the detailed step-by-step information and formulas used for normalisation, weighting and aggregation of all the CirCrete indicators into a single composite index for evaluating the circularity of each considered scenario. This single index is then used for evaluation of the most circular EOL management option as discussed in the original paper.</t>
  </si>
  <si>
    <t>6) Refurbishment Case Study - this worksheet contains the detailed step-by-step information and formulas used for the calculation of the CirCrete indicators for the refurbishment case study presented in the original paper. The indicators calculated include carbon emission, resource use (primary input materials), and cost as reported in the original source of the presented refurbishment case study.</t>
  </si>
  <si>
    <t>This Excel spreadsheet has been prepared and specifically tailored to exemplify how to conduct scenario calculations for the implementation of CirCrete, a multi-criteria based decision support framework that facilitates the end of life management of a concrete structure from a circular economy perspective. This spreadsheet has been prepared by the authors for demonstration purpose.</t>
  </si>
  <si>
    <t xml:space="preserve">Supplementary file </t>
  </si>
  <si>
    <r>
      <t>Vol m</t>
    </r>
    <r>
      <rPr>
        <vertAlign val="superscript"/>
        <sz val="11"/>
        <color theme="1"/>
        <rFont val="Calibri"/>
        <family val="2"/>
        <scheme val="minor"/>
      </rPr>
      <t>3</t>
    </r>
  </si>
  <si>
    <r>
      <t>Formwork (m</t>
    </r>
    <r>
      <rPr>
        <vertAlign val="superscript"/>
        <sz val="11"/>
        <color theme="1"/>
        <rFont val="Calibri"/>
        <family val="2"/>
        <scheme val="minor"/>
      </rPr>
      <t>2</t>
    </r>
    <r>
      <rPr>
        <sz val="11"/>
        <color theme="1"/>
        <rFont val="Calibri"/>
        <family val="2"/>
        <scheme val="minor"/>
      </rPr>
      <t>)</t>
    </r>
  </si>
  <si>
    <t>Total</t>
  </si>
  <si>
    <r>
      <t>Vol (m</t>
    </r>
    <r>
      <rPr>
        <vertAlign val="superscript"/>
        <sz val="11"/>
        <color theme="1"/>
        <rFont val="Calibri"/>
        <family val="2"/>
        <scheme val="minor"/>
      </rPr>
      <t>3</t>
    </r>
    <r>
      <rPr>
        <sz val="11"/>
        <color theme="1"/>
        <rFont val="Calibri"/>
        <family val="2"/>
        <scheme val="minor"/>
      </rPr>
      <t>)</t>
    </r>
  </si>
  <si>
    <r>
      <t>Normalisation (</t>
    </r>
    <r>
      <rPr>
        <b/>
        <i/>
        <sz val="11"/>
        <color theme="0"/>
        <rFont val="Calibri"/>
        <family val="2"/>
        <scheme val="minor"/>
      </rPr>
      <t>V</t>
    </r>
    <r>
      <rPr>
        <b/>
        <i/>
        <sz val="8"/>
        <color theme="0"/>
        <rFont val="Calibri"/>
        <family val="2"/>
        <scheme val="minor"/>
      </rPr>
      <t>i</t>
    </r>
    <r>
      <rPr>
        <b/>
        <i/>
        <sz val="11"/>
        <color theme="0"/>
        <rFont val="Calibri"/>
        <family val="2"/>
        <scheme val="minor"/>
      </rPr>
      <t>'</t>
    </r>
    <r>
      <rPr>
        <b/>
        <sz val="11"/>
        <color theme="0"/>
        <rFont val="Calibri"/>
        <family val="2"/>
        <scheme val="minor"/>
      </rPr>
      <t>)</t>
    </r>
  </si>
  <si>
    <r>
      <t>Weighting (</t>
    </r>
    <r>
      <rPr>
        <b/>
        <i/>
        <sz val="11"/>
        <color theme="0"/>
        <rFont val="Calibri"/>
        <family val="2"/>
        <scheme val="minor"/>
      </rPr>
      <t>W</t>
    </r>
    <r>
      <rPr>
        <b/>
        <i/>
        <sz val="8"/>
        <color theme="0"/>
        <rFont val="Calibri"/>
        <family val="2"/>
        <scheme val="minor"/>
      </rPr>
      <t>v</t>
    </r>
    <r>
      <rPr>
        <b/>
        <sz val="11"/>
        <color theme="0"/>
        <rFont val="Calibri"/>
        <family val="2"/>
        <scheme val="minor"/>
      </rPr>
      <t xml:space="preserve">) </t>
    </r>
  </si>
  <si>
    <r>
      <t>Aggregation (</t>
    </r>
    <r>
      <rPr>
        <b/>
        <i/>
        <sz val="11"/>
        <color theme="0"/>
        <rFont val="Calibri"/>
        <family val="2"/>
        <scheme val="minor"/>
      </rPr>
      <t>Y</t>
    </r>
    <r>
      <rPr>
        <b/>
        <i/>
        <sz val="8"/>
        <color theme="0"/>
        <rFont val="Calibri"/>
        <family val="2"/>
        <scheme val="minor"/>
      </rPr>
      <t>i</t>
    </r>
    <r>
      <rPr>
        <b/>
        <sz val="11"/>
        <color theme="0"/>
        <rFont val="Calibri"/>
        <family val="2"/>
        <scheme val="minor"/>
      </rPr>
      <t>)</t>
    </r>
  </si>
  <si>
    <r>
      <rPr>
        <b/>
        <sz val="11"/>
        <color theme="1"/>
        <rFont val="Calibri"/>
        <family val="2"/>
        <scheme val="minor"/>
      </rPr>
      <t>NOTES</t>
    </r>
    <r>
      <rPr>
        <sz val="11"/>
        <color theme="1"/>
        <rFont val="Calibri"/>
        <family val="2"/>
        <scheme val="minor"/>
      </rPr>
      <t>: (1) Length of X-axis edge beams are shortchanged along Y-axis edge beams to prevent double volume counting due to monolithic casting. (2) Length of X-axis internal beams are shortchanged along both Y-axis edge and internal beams to prevent double volume counting. (3) Length of Y-axis internal beams are shortchanged along X-axis edge beams to prevent double counting.  (4) The non-carbonated designation represents the original concrete after casting assuming the concrete has not undergone carbonation. (5) The carbonated designation represnts the full carbonation of the concrete covers and thus, the concrete cover dimensions were subtracted from the non-carbonated concrete. (6) The repair amount now represents the difference between non-carbonated and carbonated and the amount of material required to repair the concrete elements that have undergone carbonation.</t>
    </r>
  </si>
  <si>
    <r>
      <t>1) New build case_for_reuse - this worksheet contains the required material quantity information that can be potentially imported from a BIM or structural design tool. For the data presented here, the information has been extracted from the Materials Product Association concept design tool</t>
    </r>
    <r>
      <rPr>
        <sz val="11"/>
        <color rgb="FFFF0000"/>
        <rFont val="Calibri"/>
        <family val="2"/>
        <scheme val="minor"/>
      </rPr>
      <t xml:space="preserve"> </t>
    </r>
    <r>
      <rPr>
        <sz val="11"/>
        <rFont val="Calibri"/>
        <family val="2"/>
        <scheme val="minor"/>
      </rPr>
      <t xml:space="preserve">(https://www.concretecentre.com/Resources/Publications/Concept-Design-Tool-Version-4.aspx) </t>
    </r>
    <r>
      <rPr>
        <sz val="11"/>
        <color theme="1"/>
        <rFont val="Calibri"/>
        <family val="2"/>
        <scheme val="minor"/>
      </rPr>
      <t xml:space="preserve"> for an office building designed with two-way slabs. The quantities presented are for the concrete and reinforcement used for the beams, columns and slabs only, and the formwork required for construction of the superstructure only. The calculation was done for two concrete types whose mix design information is detailed in the inventory worksheet.</t>
    </r>
  </si>
  <si>
    <t>Nwonu D.C., Josa I., Bernal S.A., Velenturf A.P.M., Hafez H. CirCrete: A multi-criteria performance-based decision support framework for end-of-life management of concrete</t>
  </si>
  <si>
    <r>
      <t>Steel Rebar  (kg/m</t>
    </r>
    <r>
      <rPr>
        <vertAlign val="superscript"/>
        <sz val="11"/>
        <color theme="1"/>
        <rFont val="Calibri"/>
        <family val="2"/>
        <scheme val="minor"/>
      </rPr>
      <t>3</t>
    </r>
    <r>
      <rPr>
        <sz val="11"/>
        <color theme="1"/>
        <rFont val="Calibri"/>
        <family val="2"/>
        <scheme val="minor"/>
      </rPr>
      <t>)</t>
    </r>
  </si>
  <si>
    <r>
      <t>m</t>
    </r>
    <r>
      <rPr>
        <vertAlign val="superscript"/>
        <sz val="11"/>
        <color theme="0"/>
        <rFont val="Calibri"/>
        <family val="2"/>
        <scheme val="minor"/>
      </rPr>
      <t>3</t>
    </r>
  </si>
  <si>
    <r>
      <t>m</t>
    </r>
    <r>
      <rPr>
        <vertAlign val="superscript"/>
        <sz val="11"/>
        <color theme="0"/>
        <rFont val="Calibri"/>
        <family val="2"/>
        <scheme val="minor"/>
      </rPr>
      <t>2</t>
    </r>
  </si>
  <si>
    <r>
      <t>Net Vol (m</t>
    </r>
    <r>
      <rPr>
        <vertAlign val="superscript"/>
        <sz val="11"/>
        <color theme="1"/>
        <rFont val="Calibri"/>
        <family val="2"/>
        <scheme val="minor"/>
      </rPr>
      <t>3</t>
    </r>
    <r>
      <rPr>
        <sz val="11"/>
        <color theme="1"/>
        <rFont val="Calibri"/>
        <family val="2"/>
        <scheme val="minor"/>
      </rPr>
      <t>)</t>
    </r>
  </si>
  <si>
    <r>
      <t>Gross Vol (m</t>
    </r>
    <r>
      <rPr>
        <vertAlign val="superscript"/>
        <sz val="11"/>
        <color theme="1"/>
        <rFont val="Calibri"/>
        <family val="2"/>
        <scheme val="minor"/>
      </rPr>
      <t>3</t>
    </r>
    <r>
      <rPr>
        <sz val="11"/>
        <color theme="1"/>
        <rFont val="Calibri"/>
        <family val="2"/>
        <scheme val="minor"/>
      </rPr>
      <t>)</t>
    </r>
  </si>
  <si>
    <r>
      <t>Steel Rebar (kg/m</t>
    </r>
    <r>
      <rPr>
        <vertAlign val="superscript"/>
        <sz val="11"/>
        <color theme="1"/>
        <rFont val="Calibri"/>
        <family val="2"/>
        <scheme val="minor"/>
      </rPr>
      <t>3</t>
    </r>
    <r>
      <rPr>
        <sz val="11"/>
        <color theme="1"/>
        <rFont val="Calibri"/>
        <family val="2"/>
        <scheme val="minor"/>
      </rPr>
      <t>)</t>
    </r>
  </si>
  <si>
    <t>Total H-formwork</t>
  </si>
  <si>
    <t>Total V-formwork</t>
  </si>
  <si>
    <t>Total formwork</t>
  </si>
  <si>
    <t>Total Steel mass (beams)</t>
  </si>
  <si>
    <t>Total Beam Steel mass</t>
  </si>
  <si>
    <t>Total Col Steel mass</t>
  </si>
  <si>
    <t>Total Steel mass (cols)</t>
  </si>
  <si>
    <t>Cover (m)</t>
  </si>
  <si>
    <r>
      <rPr>
        <b/>
        <sz val="11"/>
        <color theme="1"/>
        <rFont val="Calibri"/>
        <family val="2"/>
        <scheme val="minor"/>
      </rPr>
      <t>RICS 2023 NOTES:</t>
    </r>
    <r>
      <rPr>
        <sz val="11"/>
        <color theme="1"/>
        <rFont val="Calibri"/>
        <family val="2"/>
        <scheme val="minor"/>
      </rPr>
      <t xml:space="preserve"> A4 = formula for C2, where ready mix concrete is 20 km by road and steel rebar is 120 km by road for UK context. A5.2 = 40 kgCO</t>
    </r>
    <r>
      <rPr>
        <vertAlign val="subscript"/>
        <sz val="11"/>
        <color theme="1"/>
        <rFont val="Calibri"/>
        <family val="2"/>
        <scheme val="minor"/>
      </rPr>
      <t>2</t>
    </r>
    <r>
      <rPr>
        <sz val="11"/>
        <color theme="1"/>
        <rFont val="Calibri"/>
        <family val="2"/>
        <scheme val="minor"/>
      </rPr>
      <t>e/m</t>
    </r>
    <r>
      <rPr>
        <vertAlign val="superscript"/>
        <sz val="11"/>
        <color theme="1"/>
        <rFont val="Calibri"/>
        <family val="2"/>
        <scheme val="minor"/>
      </rPr>
      <t>2</t>
    </r>
    <r>
      <rPr>
        <sz val="11"/>
        <color theme="1"/>
        <rFont val="Calibri"/>
        <family val="2"/>
        <scheme val="minor"/>
      </rPr>
      <t xml:space="preserve"> GIA for UK. A5.3 = waste rate * embodied carbon factor [A1-A3]+[A4]+[C2]+[C3] for reuse/recycle &amp; [A1-A3]+[A4]+[C2]+[C4] for disposal. A5 = A5.2+A5.3. Waste rate = 5% for in situ concrete &amp; steel rebar. Becasue we cannot decide the end-of-life treatment option for the new build cases, the embodied carbon factor used for A5.3 = [A1-A3]+[A4].</t>
    </r>
  </si>
  <si>
    <r>
      <t>Water (kg/m</t>
    </r>
    <r>
      <rPr>
        <b/>
        <vertAlign val="superscript"/>
        <sz val="11"/>
        <color theme="1"/>
        <rFont val="Calibri"/>
        <family val="2"/>
        <scheme val="minor"/>
      </rPr>
      <t>3</t>
    </r>
    <r>
      <rPr>
        <b/>
        <sz val="11"/>
        <color theme="1"/>
        <rFont val="Calibri"/>
        <family val="2"/>
        <scheme val="minor"/>
      </rPr>
      <t>)</t>
    </r>
  </si>
  <si>
    <r>
      <t>Cement (kg/m</t>
    </r>
    <r>
      <rPr>
        <b/>
        <vertAlign val="superscript"/>
        <sz val="11"/>
        <color theme="1"/>
        <rFont val="Calibri"/>
        <family val="2"/>
        <scheme val="minor"/>
      </rPr>
      <t>3</t>
    </r>
    <r>
      <rPr>
        <b/>
        <sz val="11"/>
        <color theme="1"/>
        <rFont val="Calibri"/>
        <family val="2"/>
        <scheme val="minor"/>
      </rPr>
      <t>)</t>
    </r>
  </si>
  <si>
    <r>
      <t>Calc clay (kg/m</t>
    </r>
    <r>
      <rPr>
        <b/>
        <vertAlign val="superscript"/>
        <sz val="11"/>
        <color theme="1"/>
        <rFont val="Calibri"/>
        <family val="2"/>
        <scheme val="minor"/>
      </rPr>
      <t>3</t>
    </r>
    <r>
      <rPr>
        <b/>
        <sz val="11"/>
        <color theme="1"/>
        <rFont val="Calibri"/>
        <family val="2"/>
        <scheme val="minor"/>
      </rPr>
      <t>)</t>
    </r>
  </si>
  <si>
    <r>
      <t>Limestone (kg/m</t>
    </r>
    <r>
      <rPr>
        <b/>
        <vertAlign val="superscript"/>
        <sz val="11"/>
        <color theme="1"/>
        <rFont val="Calibri"/>
        <family val="2"/>
        <scheme val="minor"/>
      </rPr>
      <t>3</t>
    </r>
    <r>
      <rPr>
        <b/>
        <sz val="11"/>
        <color theme="1"/>
        <rFont val="Calibri"/>
        <family val="2"/>
        <scheme val="minor"/>
      </rPr>
      <t>)</t>
    </r>
  </si>
  <si>
    <r>
      <t>Fine agg (kg/m</t>
    </r>
    <r>
      <rPr>
        <b/>
        <vertAlign val="superscript"/>
        <sz val="11"/>
        <color theme="1"/>
        <rFont val="Calibri"/>
        <family val="2"/>
        <scheme val="minor"/>
      </rPr>
      <t>3</t>
    </r>
    <r>
      <rPr>
        <b/>
        <sz val="11"/>
        <color theme="1"/>
        <rFont val="Calibri"/>
        <family val="2"/>
        <scheme val="minor"/>
      </rPr>
      <t>)</t>
    </r>
  </si>
  <si>
    <r>
      <t>Superplasticizer (kg/m</t>
    </r>
    <r>
      <rPr>
        <b/>
        <vertAlign val="superscript"/>
        <sz val="11"/>
        <color theme="1"/>
        <rFont val="Calibri"/>
        <family val="2"/>
        <scheme val="minor"/>
      </rPr>
      <t>3</t>
    </r>
    <r>
      <rPr>
        <b/>
        <sz val="11"/>
        <color theme="1"/>
        <rFont val="Calibri"/>
        <family val="2"/>
        <scheme val="minor"/>
      </rPr>
      <t>)</t>
    </r>
  </si>
  <si>
    <r>
      <t>Coarse agg (kg/m</t>
    </r>
    <r>
      <rPr>
        <b/>
        <vertAlign val="superscript"/>
        <sz val="11"/>
        <color theme="1"/>
        <rFont val="Calibri"/>
        <family val="2"/>
        <scheme val="minor"/>
      </rPr>
      <t>3</t>
    </r>
    <r>
      <rPr>
        <b/>
        <sz val="11"/>
        <color theme="1"/>
        <rFont val="Calibri"/>
        <family val="2"/>
        <scheme val="minor"/>
      </rPr>
      <t>)</t>
    </r>
  </si>
  <si>
    <r>
      <t>Total (kg/m</t>
    </r>
    <r>
      <rPr>
        <b/>
        <vertAlign val="superscript"/>
        <sz val="11"/>
        <color theme="1"/>
        <rFont val="Calibri"/>
        <family val="2"/>
        <scheme val="minor"/>
      </rPr>
      <t>3</t>
    </r>
    <r>
      <rPr>
        <b/>
        <sz val="11"/>
        <color theme="1"/>
        <rFont val="Calibri"/>
        <family val="2"/>
        <scheme val="minor"/>
      </rPr>
      <t>)</t>
    </r>
  </si>
  <si>
    <r>
      <t>kgCO</t>
    </r>
    <r>
      <rPr>
        <vertAlign val="subscript"/>
        <sz val="11"/>
        <color theme="1"/>
        <rFont val="Calibri"/>
        <family val="2"/>
        <scheme val="minor"/>
      </rPr>
      <t>2</t>
    </r>
    <r>
      <rPr>
        <sz val="11"/>
        <color theme="1"/>
        <rFont val="Calibri"/>
        <family val="2"/>
        <scheme val="minor"/>
      </rPr>
      <t>e/kg</t>
    </r>
  </si>
  <si>
    <r>
      <t>kgCO</t>
    </r>
    <r>
      <rPr>
        <vertAlign val="subscript"/>
        <sz val="11"/>
        <color theme="1"/>
        <rFont val="Calibri"/>
        <family val="2"/>
        <scheme val="minor"/>
      </rPr>
      <t>2</t>
    </r>
    <r>
      <rPr>
        <sz val="11"/>
        <color theme="1"/>
        <rFont val="Calibri"/>
        <family val="2"/>
        <scheme val="minor"/>
      </rPr>
      <t>e/t</t>
    </r>
  </si>
  <si>
    <r>
      <t>kgCO</t>
    </r>
    <r>
      <rPr>
        <vertAlign val="subscript"/>
        <sz val="11"/>
        <color theme="1"/>
        <rFont val="Calibri"/>
        <family val="2"/>
        <scheme val="minor"/>
      </rPr>
      <t>2</t>
    </r>
    <r>
      <rPr>
        <sz val="11"/>
        <color theme="1"/>
        <rFont val="Calibri"/>
        <family val="2"/>
        <scheme val="minor"/>
      </rPr>
      <t>e/t.km</t>
    </r>
  </si>
  <si>
    <r>
      <t>kgCO</t>
    </r>
    <r>
      <rPr>
        <vertAlign val="subscript"/>
        <sz val="11"/>
        <color theme="1"/>
        <rFont val="Calibri"/>
        <family val="2"/>
        <scheme val="minor"/>
      </rPr>
      <t>2</t>
    </r>
    <r>
      <rPr>
        <sz val="11"/>
        <color theme="1"/>
        <rFont val="Calibri"/>
        <family val="2"/>
        <scheme val="minor"/>
      </rPr>
      <t>e/km</t>
    </r>
  </si>
  <si>
    <r>
      <t>kgCO</t>
    </r>
    <r>
      <rPr>
        <vertAlign val="subscript"/>
        <sz val="11"/>
        <color theme="1"/>
        <rFont val="Calibri"/>
        <family val="2"/>
        <scheme val="minor"/>
      </rPr>
      <t>2</t>
    </r>
    <r>
      <rPr>
        <sz val="11"/>
        <color theme="1"/>
        <rFont val="Calibri"/>
        <family val="2"/>
        <scheme val="minor"/>
      </rPr>
      <t>e/m</t>
    </r>
    <r>
      <rPr>
        <vertAlign val="superscript"/>
        <sz val="11"/>
        <color theme="1"/>
        <rFont val="Calibri"/>
        <family val="2"/>
        <scheme val="minor"/>
      </rPr>
      <t>3</t>
    </r>
  </si>
  <si>
    <r>
      <t>MJ/m</t>
    </r>
    <r>
      <rPr>
        <vertAlign val="superscript"/>
        <sz val="11"/>
        <color theme="1"/>
        <rFont val="Calibri"/>
        <family val="2"/>
        <scheme val="minor"/>
      </rPr>
      <t>3</t>
    </r>
  </si>
  <si>
    <t>New Build CEM I (S1)</t>
  </si>
  <si>
    <t>New Build CEM II C-M (S2)</t>
  </si>
  <si>
    <t>Deconstruct, Repair &amp; Reuse CEM I (S3)</t>
  </si>
  <si>
    <t>Demolish &amp; Recycle (S4)</t>
  </si>
  <si>
    <t>Demolish &amp; Landfill (S5)</t>
  </si>
  <si>
    <t>50% Repair, 50% recycle (S3-4)</t>
  </si>
  <si>
    <t>50% Repair, 50% landfill (S3-5)</t>
  </si>
  <si>
    <t>50% recycle, 50% landfill (S4-5)</t>
  </si>
  <si>
    <t>REFERENCE</t>
  </si>
  <si>
    <t>This spreadsheet consists of a total of eight worksheets. The first is the introduction, the next five are for calculations related to the remanufacture and recycling/landfilling route, the sixth worksheet is for the refurbishment route in the original paper and the last worksheet is the reference list. The following notes explain the content of each worksheet:</t>
  </si>
  <si>
    <r>
      <t xml:space="preserve">Akbarnezhad, A., Ong, K. C. G., &amp; Chandra, L. R. (2014). Economic and environmental assessment of deconstruction strategies using building information modeling. </t>
    </r>
    <r>
      <rPr>
        <i/>
        <sz val="14"/>
        <color theme="1"/>
        <rFont val="Calibri"/>
        <family val="2"/>
        <scheme val="minor"/>
      </rPr>
      <t>Automation in Construction</t>
    </r>
    <r>
      <rPr>
        <sz val="14"/>
        <color theme="1"/>
        <rFont val="Calibri"/>
        <family val="2"/>
        <scheme val="minor"/>
      </rPr>
      <t xml:space="preserve">, </t>
    </r>
    <r>
      <rPr>
        <i/>
        <sz val="14"/>
        <color theme="1"/>
        <rFont val="Calibri"/>
        <family val="2"/>
        <scheme val="minor"/>
      </rPr>
      <t>37</t>
    </r>
    <r>
      <rPr>
        <sz val="14"/>
        <color theme="1"/>
        <rFont val="Calibri"/>
        <family val="2"/>
        <scheme val="minor"/>
      </rPr>
      <t>, 131–144. https://doi.org/10.1016/j.autcon.2013.10.017</t>
    </r>
  </si>
  <si>
    <r>
      <t xml:space="preserve">Andersen, C. E., Kanafani, K., Zimmermann, R. K., Rasmussen, F. N., &amp; Birgisdóttir, H. (2020). Comparison of GHG emissions from circular and conventional building components. </t>
    </r>
    <r>
      <rPr>
        <i/>
        <sz val="14"/>
        <color theme="1"/>
        <rFont val="Calibri"/>
        <family val="2"/>
        <scheme val="minor"/>
      </rPr>
      <t>Buildings and Cities</t>
    </r>
    <r>
      <rPr>
        <sz val="14"/>
        <color theme="1"/>
        <rFont val="Calibri"/>
        <family val="2"/>
        <scheme val="minor"/>
      </rPr>
      <t xml:space="preserve">, </t>
    </r>
    <r>
      <rPr>
        <i/>
        <sz val="14"/>
        <color theme="1"/>
        <rFont val="Calibri"/>
        <family val="2"/>
        <scheme val="minor"/>
      </rPr>
      <t>1</t>
    </r>
    <r>
      <rPr>
        <sz val="14"/>
        <color theme="1"/>
        <rFont val="Calibri"/>
        <family val="2"/>
        <scheme val="minor"/>
      </rPr>
      <t>(1), 379. https://doi.org/10.5334/bc.55</t>
    </r>
  </si>
  <si>
    <r>
      <t xml:space="preserve">BRMCA. (2018). </t>
    </r>
    <r>
      <rPr>
        <i/>
        <sz val="14"/>
        <color theme="1"/>
        <rFont val="Calibri"/>
        <family val="2"/>
        <scheme val="minor"/>
      </rPr>
      <t>UK manufactured generic ready-mixed concrete</t>
    </r>
    <r>
      <rPr>
        <sz val="14"/>
        <color theme="1"/>
        <rFont val="Calibri"/>
        <family val="2"/>
        <scheme val="minor"/>
      </rPr>
      <t>. Institut Bauen und Umwelt e.V. (IBU). https://www.concretecentre.com/TCC/media/TCCMediaLibrary/PDF%20attachments/Generic-ready-mixed-concrete.pdf</t>
    </r>
  </si>
  <si>
    <r>
      <t xml:space="preserve">Circular Ecology. (2019). </t>
    </r>
    <r>
      <rPr>
        <i/>
        <sz val="14"/>
        <color theme="1"/>
        <rFont val="Calibri"/>
        <family val="2"/>
        <scheme val="minor"/>
      </rPr>
      <t>Inventory of carbon and energy: ICE version 3.0</t>
    </r>
    <r>
      <rPr>
        <sz val="14"/>
        <color theme="1"/>
        <rFont val="Calibri"/>
        <family val="2"/>
        <scheme val="minor"/>
      </rPr>
      <t>. https://www.circularecology.com/embodied-carbon-footprint-database.html</t>
    </r>
  </si>
  <si>
    <r>
      <t xml:space="preserve">Costmodelling Ltd. (2023). </t>
    </r>
    <r>
      <rPr>
        <i/>
        <sz val="14"/>
        <color theme="1"/>
        <rFont val="Calibri"/>
        <family val="2"/>
        <scheme val="minor"/>
      </rPr>
      <t>Typical UK Construction Costs of Buildings</t>
    </r>
    <r>
      <rPr>
        <sz val="14"/>
        <color theme="1"/>
        <rFont val="Calibri"/>
        <family val="2"/>
        <scheme val="minor"/>
      </rPr>
      <t>. https://costmodelling.com/building-costs</t>
    </r>
  </si>
  <si>
    <r>
      <t xml:space="preserve">Hafez, H., Kurda, R., Al-Ayish, N., Garcia-Segura, T., Cheung, W. M., &amp; Nagaratnam, B. (2021). A whole life cycle performance-based ECOnomic and ECOlogical assessment framework (ECO2) for concrete sustainability. </t>
    </r>
    <r>
      <rPr>
        <i/>
        <sz val="14"/>
        <color theme="1"/>
        <rFont val="Calibri"/>
        <family val="2"/>
        <scheme val="minor"/>
      </rPr>
      <t>Journal of Cleaner Production</t>
    </r>
    <r>
      <rPr>
        <sz val="14"/>
        <color theme="1"/>
        <rFont val="Calibri"/>
        <family val="2"/>
        <scheme val="minor"/>
      </rPr>
      <t xml:space="preserve">, </t>
    </r>
    <r>
      <rPr>
        <i/>
        <sz val="14"/>
        <color theme="1"/>
        <rFont val="Calibri"/>
        <family val="2"/>
        <scheme val="minor"/>
      </rPr>
      <t>292</t>
    </r>
    <r>
      <rPr>
        <sz val="14"/>
        <color theme="1"/>
        <rFont val="Calibri"/>
        <family val="2"/>
        <scheme val="minor"/>
      </rPr>
      <t>, 126060. https://doi.org/10.1016/j.jclepro.2021.126060</t>
    </r>
  </si>
  <si>
    <r>
      <t xml:space="preserve">Hafez, H., Teirelbar, A., Kurda, R., Tošić, N., &amp; de la Fuente, A. (2022). Pre-bcc: A novel integrated machine learning framework for predicting mechanical and durability properties of blended cement concrete. </t>
    </r>
    <r>
      <rPr>
        <i/>
        <sz val="14"/>
        <color theme="1"/>
        <rFont val="Calibri"/>
        <family val="2"/>
        <scheme val="minor"/>
      </rPr>
      <t>Construction and Building Materials</t>
    </r>
    <r>
      <rPr>
        <sz val="14"/>
        <color theme="1"/>
        <rFont val="Calibri"/>
        <family val="2"/>
        <scheme val="minor"/>
      </rPr>
      <t xml:space="preserve">, </t>
    </r>
    <r>
      <rPr>
        <i/>
        <sz val="14"/>
        <color theme="1"/>
        <rFont val="Calibri"/>
        <family val="2"/>
        <scheme val="minor"/>
      </rPr>
      <t>352</t>
    </r>
    <r>
      <rPr>
        <sz val="14"/>
        <color theme="1"/>
        <rFont val="Calibri"/>
        <family val="2"/>
        <scheme val="minor"/>
      </rPr>
      <t>, 129019. https://doi.org/10.1016/j.conbuildmat.2022.129019</t>
    </r>
  </si>
  <si>
    <r>
      <t xml:space="preserve">Hart, J., D’Amico, B., &amp; Pomponi, F. (2021). Whole‐life embodied carbon in multistory buildings: Steel, concrete and timber structures. </t>
    </r>
    <r>
      <rPr>
        <i/>
        <sz val="14"/>
        <color theme="1"/>
        <rFont val="Calibri"/>
        <family val="2"/>
        <scheme val="minor"/>
      </rPr>
      <t>Journal of Industrial Ecology</t>
    </r>
    <r>
      <rPr>
        <sz val="14"/>
        <color theme="1"/>
        <rFont val="Calibri"/>
        <family val="2"/>
        <scheme val="minor"/>
      </rPr>
      <t xml:space="preserve">, </t>
    </r>
    <r>
      <rPr>
        <i/>
        <sz val="14"/>
        <color theme="1"/>
        <rFont val="Calibri"/>
        <family val="2"/>
        <scheme val="minor"/>
      </rPr>
      <t>25</t>
    </r>
    <r>
      <rPr>
        <sz val="14"/>
        <color theme="1"/>
        <rFont val="Calibri"/>
        <family val="2"/>
        <scheme val="minor"/>
      </rPr>
      <t>(2), 403–418. https://doi.org/10.1111/jiec.13139</t>
    </r>
  </si>
  <si>
    <r>
      <t xml:space="preserve">HMRC. (2023). </t>
    </r>
    <r>
      <rPr>
        <i/>
        <sz val="14"/>
        <color theme="1"/>
        <rFont val="Calibri"/>
        <family val="2"/>
        <scheme val="minor"/>
      </rPr>
      <t>Landfill Tax rates</t>
    </r>
    <r>
      <rPr>
        <sz val="14"/>
        <color theme="1"/>
        <rFont val="Calibri"/>
        <family val="2"/>
        <scheme val="minor"/>
      </rPr>
      <t>. https://www.gov.uk/government/publications/rates-and-allowances-landfill-tax/landfill-tax-rates-from-1-april-2013</t>
    </r>
  </si>
  <si>
    <r>
      <t xml:space="preserve">Hopkinson, P., Chen, H.-M., Zhou, K., Wang, Y., &amp; Lam, D. (2019). Recovery and reuse of structural products from end-of-life buildings. </t>
    </r>
    <r>
      <rPr>
        <i/>
        <sz val="14"/>
        <color theme="1"/>
        <rFont val="Calibri"/>
        <family val="2"/>
        <scheme val="minor"/>
      </rPr>
      <t>Proceedings of the Institution of Civil Engineers - Engineering Sustainability</t>
    </r>
    <r>
      <rPr>
        <sz val="14"/>
        <color theme="1"/>
        <rFont val="Calibri"/>
        <family val="2"/>
        <scheme val="minor"/>
      </rPr>
      <t xml:space="preserve">, </t>
    </r>
    <r>
      <rPr>
        <i/>
        <sz val="14"/>
        <color theme="1"/>
        <rFont val="Calibri"/>
        <family val="2"/>
        <scheme val="minor"/>
      </rPr>
      <t>172</t>
    </r>
    <r>
      <rPr>
        <sz val="14"/>
        <color theme="1"/>
        <rFont val="Calibri"/>
        <family val="2"/>
        <scheme val="minor"/>
      </rPr>
      <t>(3), 119–128. https://doi.org/10.1680/jensu.18.00007</t>
    </r>
  </si>
  <si>
    <r>
      <t xml:space="preserve">MPA. (2019). </t>
    </r>
    <r>
      <rPr>
        <i/>
        <sz val="14"/>
        <color theme="1"/>
        <rFont val="Calibri"/>
        <family val="2"/>
        <scheme val="minor"/>
      </rPr>
      <t>Embodied CO2e of UK cement, additions and cementitious material Fact Sheet 18</t>
    </r>
    <r>
      <rPr>
        <sz val="14"/>
        <color theme="1"/>
        <rFont val="Calibri"/>
        <family val="2"/>
        <scheme val="minor"/>
      </rPr>
      <t>. https://cement.mineralproducts.org/MPACement/media/Cement/Publications/Fact-Sheets/FS_18_Embodied_CO2e.pdf</t>
    </r>
  </si>
  <si>
    <r>
      <t xml:space="preserve">MPA. (2022). </t>
    </r>
    <r>
      <rPr>
        <i/>
        <sz val="14"/>
        <color theme="1"/>
        <rFont val="Calibri"/>
        <family val="2"/>
        <scheme val="minor"/>
      </rPr>
      <t>UK Average CEM I sector EPD</t>
    </r>
    <r>
      <rPr>
        <sz val="14"/>
        <color theme="1"/>
        <rFont val="Calibri"/>
        <family val="2"/>
        <scheme val="minor"/>
      </rPr>
      <t>. EPD International AB. https://api.environdec.com/api/v1/EPDLibrary/Files/43c7b55b-90d3-434c-9867-08dc3c72202b/Data</t>
    </r>
  </si>
  <si>
    <r>
      <t xml:space="preserve">MPA The Concrete Centre. (2020). </t>
    </r>
    <r>
      <rPr>
        <i/>
        <sz val="14"/>
        <color theme="1"/>
        <rFont val="Calibri"/>
        <family val="2"/>
        <scheme val="minor"/>
      </rPr>
      <t>Concept Design Tool - Version 4</t>
    </r>
    <r>
      <rPr>
        <sz val="14"/>
        <color theme="1"/>
        <rFont val="Calibri"/>
        <family val="2"/>
        <scheme val="minor"/>
      </rPr>
      <t>. Mineral Product Association. https://www.concretecentre.com/Resources/Publications/Concept-Design-Tool-Version-4.aspx</t>
    </r>
  </si>
  <si>
    <r>
      <t xml:space="preserve">Ohemeng, E. A., &amp; Ekolu, S. O. (2020). Comparative analysis on costs and benefits of producing natural and recycled concrete aggregates: A South African case study. </t>
    </r>
    <r>
      <rPr>
        <i/>
        <sz val="14"/>
        <color theme="1"/>
        <rFont val="Calibri"/>
        <family val="2"/>
        <scheme val="minor"/>
      </rPr>
      <t>Case Studies in Construction Materials</t>
    </r>
    <r>
      <rPr>
        <sz val="14"/>
        <color theme="1"/>
        <rFont val="Calibri"/>
        <family val="2"/>
        <scheme val="minor"/>
      </rPr>
      <t xml:space="preserve">, </t>
    </r>
    <r>
      <rPr>
        <i/>
        <sz val="14"/>
        <color theme="1"/>
        <rFont val="Calibri"/>
        <family val="2"/>
        <scheme val="minor"/>
      </rPr>
      <t>13</t>
    </r>
    <r>
      <rPr>
        <sz val="14"/>
        <color theme="1"/>
        <rFont val="Calibri"/>
        <family val="2"/>
        <scheme val="minor"/>
      </rPr>
      <t>, e00450. https://doi.org/10.1016/j.cscm.2020.e00450</t>
    </r>
  </si>
  <si>
    <r>
      <t xml:space="preserve">Returnloads. (n.d.). </t>
    </r>
    <r>
      <rPr>
        <i/>
        <sz val="14"/>
        <color theme="1"/>
        <rFont val="Calibri"/>
        <family val="2"/>
        <scheme val="minor"/>
      </rPr>
      <t>HGV Loads: How to Price Haulage Work</t>
    </r>
    <r>
      <rPr>
        <sz val="14"/>
        <color theme="1"/>
        <rFont val="Calibri"/>
        <family val="2"/>
        <scheme val="minor"/>
      </rPr>
      <t>. Retrieved October 22, 2023, from https://www.returnloads.net/how-to-price-haulage-work/</t>
    </r>
  </si>
  <si>
    <r>
      <t xml:space="preserve">RICS. (2023). </t>
    </r>
    <r>
      <rPr>
        <i/>
        <sz val="14"/>
        <color theme="1"/>
        <rFont val="Calibri"/>
        <family val="2"/>
        <scheme val="minor"/>
      </rPr>
      <t>Whole Life Carbon Assessment for the Built Environment, RICS Professional Standard, 2nd edition</t>
    </r>
    <r>
      <rPr>
        <sz val="14"/>
        <color theme="1"/>
        <rFont val="Calibri"/>
        <family val="2"/>
        <scheme val="minor"/>
      </rPr>
      <t>. https://www.rics.org/content/dam/ricsglobal/documents/standards/Whole_life_carbon_assessment_PS_Sept23.pdf</t>
    </r>
  </si>
  <si>
    <r>
      <t xml:space="preserve">Robertson, A., &amp; Sturel, E. (2021). 1 Triton Square, London – low-carbon development through reuse of an existing building. </t>
    </r>
    <r>
      <rPr>
        <i/>
        <sz val="14"/>
        <color theme="1"/>
        <rFont val="Calibri"/>
        <family val="2"/>
        <scheme val="minor"/>
      </rPr>
      <t>The Structural Engineer</t>
    </r>
    <r>
      <rPr>
        <sz val="14"/>
        <color theme="1"/>
        <rFont val="Calibri"/>
        <family val="2"/>
        <scheme val="minor"/>
      </rPr>
      <t xml:space="preserve">, </t>
    </r>
    <r>
      <rPr>
        <i/>
        <sz val="14"/>
        <color theme="1"/>
        <rFont val="Calibri"/>
        <family val="2"/>
        <scheme val="minor"/>
      </rPr>
      <t>99</t>
    </r>
    <r>
      <rPr>
        <sz val="14"/>
        <color theme="1"/>
        <rFont val="Calibri"/>
        <family val="2"/>
        <scheme val="minor"/>
      </rPr>
      <t>(3), 30–35. https://doi.org/10.56330/MWVI4065</t>
    </r>
  </si>
  <si>
    <r>
      <t xml:space="preserve">Rosado, L. P., Vitale, P., Penteado, C. S. G., &amp; Arena, U. (2017). Life cycle assessment of natural and mixed recycled aggregate production in Brazil. </t>
    </r>
    <r>
      <rPr>
        <i/>
        <sz val="14"/>
        <color theme="1"/>
        <rFont val="Calibri"/>
        <family val="2"/>
        <scheme val="minor"/>
      </rPr>
      <t>Journal of Cleaner Production</t>
    </r>
    <r>
      <rPr>
        <sz val="14"/>
        <color theme="1"/>
        <rFont val="Calibri"/>
        <family val="2"/>
        <scheme val="minor"/>
      </rPr>
      <t xml:space="preserve">, </t>
    </r>
    <r>
      <rPr>
        <i/>
        <sz val="14"/>
        <color theme="1"/>
        <rFont val="Calibri"/>
        <family val="2"/>
        <scheme val="minor"/>
      </rPr>
      <t>151</t>
    </r>
    <r>
      <rPr>
        <sz val="14"/>
        <color theme="1"/>
        <rFont val="Calibri"/>
        <family val="2"/>
        <scheme val="minor"/>
      </rPr>
      <t>, 634–642. https://doi.org/10.1016/j.jclepro.2017.03.068</t>
    </r>
  </si>
  <si>
    <r>
      <t xml:space="preserve">The European Business Review. (2022). </t>
    </r>
    <r>
      <rPr>
        <i/>
        <sz val="14"/>
        <color theme="1"/>
        <rFont val="Calibri"/>
        <family val="2"/>
        <scheme val="minor"/>
      </rPr>
      <t>Demolition Cost 2022: Price Guide UK</t>
    </r>
    <r>
      <rPr>
        <sz val="14"/>
        <color theme="1"/>
        <rFont val="Calibri"/>
        <family val="2"/>
        <scheme val="minor"/>
      </rPr>
      <t>. https://www.europeanbusinessreview.com/demolition-cost-2022-price-guide-uk/</t>
    </r>
  </si>
  <si>
    <r>
      <t xml:space="preserve">UK CARES. (2023). </t>
    </r>
    <r>
      <rPr>
        <i/>
        <sz val="14"/>
        <color theme="1"/>
        <rFont val="Calibri"/>
        <family val="2"/>
        <scheme val="minor"/>
      </rPr>
      <t>Carbon steel reinforcing bar (secondary production route-scrap), sector average</t>
    </r>
    <r>
      <rPr>
        <sz val="14"/>
        <color theme="1"/>
        <rFont val="Calibri"/>
        <family val="2"/>
        <scheme val="minor"/>
      </rPr>
      <t>. BRE Global Ltd. https://www.carescertification.com/content/HtmlContent/d7cc4369-ff70-4b95-8c62-24b076626737/fa959717-302d-4cc1-a0b5-40043d4d7e5f/BREGENEPD000125-CARES-Sector-Average-EPD-Scrap_EAF.pdf</t>
    </r>
  </si>
  <si>
    <r>
      <t xml:space="preserve">UK Green Building Council. (2022). </t>
    </r>
    <r>
      <rPr>
        <i/>
        <sz val="14"/>
        <color theme="1"/>
        <rFont val="Calibri"/>
        <family val="2"/>
        <scheme val="minor"/>
      </rPr>
      <t>Insights on how circular economy principles can impact carbon and value</t>
    </r>
    <r>
      <rPr>
        <sz val="14"/>
        <color theme="1"/>
        <rFont val="Calibri"/>
        <family val="2"/>
        <scheme val="minor"/>
      </rPr>
      <t>. https://ukgbc.org/wp-content/uploads/2022/08/Whole-Life-Carbon-Circular-Economy-Report.pdf</t>
    </r>
  </si>
  <si>
    <r>
      <t xml:space="preserve">Xia, B., Ding, T., &amp; Xiao, J. (2020). Life cycle assessment of concrete structures with reuse and recycling strategies: A novel framework and case study. </t>
    </r>
    <r>
      <rPr>
        <i/>
        <sz val="14"/>
        <color theme="1"/>
        <rFont val="Calibri"/>
        <family val="2"/>
        <scheme val="minor"/>
      </rPr>
      <t>Waste Management</t>
    </r>
    <r>
      <rPr>
        <sz val="14"/>
        <color theme="1"/>
        <rFont val="Calibri"/>
        <family val="2"/>
        <scheme val="minor"/>
      </rPr>
      <t xml:space="preserve">, </t>
    </r>
    <r>
      <rPr>
        <i/>
        <sz val="14"/>
        <color theme="1"/>
        <rFont val="Calibri"/>
        <family val="2"/>
        <scheme val="minor"/>
      </rPr>
      <t>105</t>
    </r>
    <r>
      <rPr>
        <sz val="14"/>
        <color theme="1"/>
        <rFont val="Calibri"/>
        <family val="2"/>
        <scheme val="minor"/>
      </rPr>
      <t>, 268–278. https://doi.org/10.1016/j.wasman.2020.02.015</t>
    </r>
  </si>
  <si>
    <r>
      <t xml:space="preserve">Zhang, C., Hu, M., van der Meide, M., Di Maio, F., Yang, X., Gao, X., Li, K., Zhao, H., &amp; Li, C. (2023). Life cycle assessment of material footprint in recycling: A case of concrete recycling. </t>
    </r>
    <r>
      <rPr>
        <i/>
        <sz val="14"/>
        <color theme="1"/>
        <rFont val="Calibri"/>
        <family val="2"/>
        <scheme val="minor"/>
      </rPr>
      <t>Waste Management</t>
    </r>
    <r>
      <rPr>
        <sz val="14"/>
        <color theme="1"/>
        <rFont val="Calibri"/>
        <family val="2"/>
        <scheme val="minor"/>
      </rPr>
      <t xml:space="preserve">, </t>
    </r>
    <r>
      <rPr>
        <i/>
        <sz val="14"/>
        <color theme="1"/>
        <rFont val="Calibri"/>
        <family val="2"/>
        <scheme val="minor"/>
      </rPr>
      <t>155</t>
    </r>
    <r>
      <rPr>
        <sz val="14"/>
        <color theme="1"/>
        <rFont val="Calibri"/>
        <family val="2"/>
        <scheme val="minor"/>
      </rPr>
      <t>, 311–319. https://doi.org/10.1016/j.wasman.2022.10.035</t>
    </r>
  </si>
  <si>
    <r>
      <t>£/m</t>
    </r>
    <r>
      <rPr>
        <vertAlign val="superscript"/>
        <sz val="11"/>
        <color theme="1"/>
        <rFont val="Calibri"/>
        <family val="2"/>
        <scheme val="minor"/>
      </rPr>
      <t>3</t>
    </r>
  </si>
  <si>
    <r>
      <t>£/m</t>
    </r>
    <r>
      <rPr>
        <vertAlign val="superscript"/>
        <sz val="11"/>
        <color theme="1"/>
        <rFont val="Calibri"/>
        <family val="2"/>
        <scheme val="minor"/>
      </rPr>
      <t>2</t>
    </r>
  </si>
  <si>
    <r>
      <t>kgCO</t>
    </r>
    <r>
      <rPr>
        <vertAlign val="subscript"/>
        <sz val="11"/>
        <color theme="1"/>
        <rFont val="Calibri"/>
        <family val="2"/>
        <scheme val="minor"/>
      </rPr>
      <t>2</t>
    </r>
    <r>
      <rPr>
        <sz val="11"/>
        <color theme="1"/>
        <rFont val="Calibri"/>
        <family val="2"/>
        <scheme val="minor"/>
      </rPr>
      <t>e/m</t>
    </r>
    <r>
      <rPr>
        <vertAlign val="superscript"/>
        <sz val="11"/>
        <color theme="1"/>
        <rFont val="Calibri"/>
        <family val="2"/>
        <scheme val="minor"/>
      </rPr>
      <t>2</t>
    </r>
    <r>
      <rPr>
        <sz val="11"/>
        <color theme="1"/>
        <rFont val="Calibri"/>
        <family val="2"/>
        <scheme val="minor"/>
      </rPr>
      <t xml:space="preserve"> GIA</t>
    </r>
  </si>
  <si>
    <r>
      <t>kg/m</t>
    </r>
    <r>
      <rPr>
        <vertAlign val="superscript"/>
        <sz val="11"/>
        <color theme="1"/>
        <rFont val="Calibri"/>
        <family val="2"/>
        <scheme val="minor"/>
      </rPr>
      <t>3</t>
    </r>
  </si>
  <si>
    <r>
      <t>CARBON EMISSION (kgCO2e/m</t>
    </r>
    <r>
      <rPr>
        <b/>
        <vertAlign val="superscript"/>
        <sz val="11"/>
        <color theme="0"/>
        <rFont val="Calibri"/>
        <family val="2"/>
        <scheme val="minor"/>
      </rPr>
      <t>2</t>
    </r>
    <r>
      <rPr>
        <b/>
        <sz val="11"/>
        <color theme="0"/>
        <rFont val="Calibri"/>
        <family val="2"/>
        <scheme val="minor"/>
      </rPr>
      <t xml:space="preserve"> Internal Floor Area)</t>
    </r>
  </si>
  <si>
    <r>
      <t>ENERGY DEMAND (MJ/m</t>
    </r>
    <r>
      <rPr>
        <b/>
        <vertAlign val="superscript"/>
        <sz val="11"/>
        <color theme="0"/>
        <rFont val="Calibri"/>
        <family val="2"/>
        <scheme val="minor"/>
      </rPr>
      <t>2</t>
    </r>
    <r>
      <rPr>
        <b/>
        <sz val="11"/>
        <color theme="0"/>
        <rFont val="Calibri"/>
        <family val="2"/>
        <scheme val="minor"/>
      </rPr>
      <t xml:space="preserve"> Internal Floor Area)</t>
    </r>
  </si>
  <si>
    <r>
      <t>RESOURCE USE (kg/m</t>
    </r>
    <r>
      <rPr>
        <b/>
        <vertAlign val="superscript"/>
        <sz val="11"/>
        <color theme="0"/>
        <rFont val="Calibri"/>
        <family val="2"/>
        <scheme val="minor"/>
      </rPr>
      <t>2</t>
    </r>
    <r>
      <rPr>
        <b/>
        <sz val="11"/>
        <color theme="0"/>
        <rFont val="Calibri"/>
        <family val="2"/>
        <scheme val="minor"/>
      </rPr>
      <t xml:space="preserve"> Internal Floor Area)</t>
    </r>
  </si>
  <si>
    <r>
      <t>STRUCTURAL MATERIAL COST (£/m</t>
    </r>
    <r>
      <rPr>
        <b/>
        <vertAlign val="superscript"/>
        <sz val="11"/>
        <color theme="0"/>
        <rFont val="Calibri"/>
        <family val="2"/>
        <scheme val="minor"/>
      </rPr>
      <t>2</t>
    </r>
    <r>
      <rPr>
        <b/>
        <sz val="11"/>
        <color theme="0"/>
        <rFont val="Calibri"/>
        <family val="2"/>
        <scheme val="minor"/>
      </rPr>
      <t xml:space="preserve"> Internal Floor Area)</t>
    </r>
  </si>
  <si>
    <r>
      <t>CONSTRUCT, REPAIR, RECYCLE, DEMOLISH COST (£/m</t>
    </r>
    <r>
      <rPr>
        <b/>
        <vertAlign val="superscript"/>
        <sz val="11"/>
        <color theme="0"/>
        <rFont val="Calibri"/>
        <family val="2"/>
        <scheme val="minor"/>
      </rPr>
      <t>2</t>
    </r>
    <r>
      <rPr>
        <b/>
        <sz val="11"/>
        <color theme="0"/>
        <rFont val="Calibri"/>
        <family val="2"/>
        <scheme val="minor"/>
      </rPr>
      <t xml:space="preserve"> Internal Floor Area)</t>
    </r>
  </si>
  <si>
    <r>
      <t>TRANSPORT COST (£/m</t>
    </r>
    <r>
      <rPr>
        <b/>
        <vertAlign val="superscript"/>
        <sz val="11"/>
        <color theme="0"/>
        <rFont val="Calibri"/>
        <family val="2"/>
        <scheme val="minor"/>
      </rPr>
      <t>2</t>
    </r>
    <r>
      <rPr>
        <b/>
        <sz val="11"/>
        <color theme="0"/>
        <rFont val="Calibri"/>
        <family val="2"/>
        <scheme val="minor"/>
      </rPr>
      <t xml:space="preserve"> Internal Floor Area)</t>
    </r>
  </si>
  <si>
    <r>
      <t>OVERALL COST (£/m</t>
    </r>
    <r>
      <rPr>
        <b/>
        <vertAlign val="superscript"/>
        <sz val="11"/>
        <color theme="0"/>
        <rFont val="Calibri"/>
        <family val="2"/>
        <scheme val="minor"/>
      </rPr>
      <t>2</t>
    </r>
    <r>
      <rPr>
        <b/>
        <sz val="11"/>
        <color theme="0"/>
        <rFont val="Calibri"/>
        <family val="2"/>
        <scheme val="minor"/>
      </rPr>
      <t xml:space="preserve"> Internal Floor Area)</t>
    </r>
  </si>
  <si>
    <r>
      <t xml:space="preserve">Department for Energy Security and Net Zero. (2023). </t>
    </r>
    <r>
      <rPr>
        <i/>
        <sz val="14"/>
        <color theme="1"/>
        <rFont val="Calibri"/>
        <family val="2"/>
        <scheme val="minor"/>
      </rPr>
      <t>Greenhouse gas reporting: conversion factors 2023</t>
    </r>
    <r>
      <rPr>
        <sz val="14"/>
        <color theme="1"/>
        <rFont val="Calibri"/>
        <family val="2"/>
        <scheme val="minor"/>
      </rPr>
      <t>. BEIS HM Government. https://www.gov.uk/government/publications/greenhouse-gas-reporting-conversion-factors-2023</t>
    </r>
  </si>
  <si>
    <r>
      <rPr>
        <b/>
        <sz val="11"/>
        <color theme="1"/>
        <rFont val="Calibri"/>
        <family val="2"/>
        <scheme val="minor"/>
      </rPr>
      <t>REMARKS</t>
    </r>
    <r>
      <rPr>
        <sz val="11"/>
        <color theme="1"/>
        <rFont val="Calibri"/>
        <family val="2"/>
        <scheme val="minor"/>
      </rPr>
      <t>: Excluding new build, all computed indicators are for the End-of-life stage, irrespective of the module represented in the computations above. All indicators are per m</t>
    </r>
    <r>
      <rPr>
        <vertAlign val="superscript"/>
        <sz val="11"/>
        <color theme="1"/>
        <rFont val="Calibri"/>
        <family val="2"/>
        <scheme val="minor"/>
      </rPr>
      <t>2</t>
    </r>
    <r>
      <rPr>
        <sz val="11"/>
        <color theme="1"/>
        <rFont val="Calibri"/>
        <family val="2"/>
        <scheme val="minor"/>
      </rPr>
      <t xml:space="preserve"> of the floor internal area. Transport energy demand factored by 1.7 to represent return journey with 0% laden (similar to Hafez et al, 2021). 10% of material waste is assumed for deconstruction (Akbarnezhad et al., 2014; Andersen et al 2020) and is added to the resource loss due to landfilling. Steel recycling is allocated to steel production process. In recycling scenario, it was assumed that concrete recycling is to obtain coarse aggreagte. Module D calculates the difference between processing at EOL and primary material substituted as a result of EOL processing (RICS 2023)</t>
    </r>
  </si>
  <si>
    <t xml:space="preserve">Note: Please feel free to provide feedback to the corresponding author via email: donald.chimobi@gmail.com or kindly share your experience on GitHub: https://github.com/DCNwonu </t>
  </si>
  <si>
    <t>Building is repaired onsite using CEM I concrete transported from 50 km away  and deconstructed at end of life, and components are transported to a new building site for reuse as an equivalent structural frame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</si>
</sst>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
    <numFmt numFmtId="167" formatCode="0.0E+00"/>
    <numFmt numFmtId="168" formatCode="0.000"/>
    <numFmt numFmtId="169" formatCode="0.0000"/>
  </numFmts>
  <fonts count="28" x14ac:knownFonts="1">
    <font>
      <sz val="11"/>
      <color theme="1"/>
      <name val="Calibri"/>
      <family val="2"/>
      <scheme val="minor"/>
    </font>
    <font>
      <b/>
      <sz val="11"/>
      <color theme="1"/>
      <name val="Calibri"/>
      <family val="2"/>
      <scheme val="minor"/>
    </font>
    <font>
      <u/>
      <sz val="11"/>
      <color theme="10"/>
      <name val="Calibri"/>
      <family val="2"/>
      <scheme val="minor"/>
    </font>
    <font>
      <b/>
      <sz val="18"/>
      <color theme="1"/>
      <name val="Calibri"/>
      <family val="2"/>
      <scheme val="minor"/>
    </font>
    <font>
      <b/>
      <i/>
      <sz val="11"/>
      <color theme="1"/>
      <name val="Calibri"/>
      <family val="2"/>
      <scheme val="minor"/>
    </font>
    <font>
      <b/>
      <sz val="14"/>
      <color theme="1"/>
      <name val="Calibri"/>
      <family val="2"/>
      <scheme val="minor"/>
    </font>
    <font>
      <sz val="11"/>
      <color rgb="FF002060"/>
      <name val="Calibri"/>
      <family val="2"/>
      <scheme val="minor"/>
    </font>
    <font>
      <sz val="11"/>
      <color rgb="FF000000"/>
      <name val="Calibri"/>
      <family val="2"/>
      <scheme val="minor"/>
    </font>
    <font>
      <b/>
      <sz val="12"/>
      <color rgb="FF0073CF"/>
      <name val="Calibri"/>
      <family val="2"/>
      <scheme val="minor"/>
    </font>
    <font>
      <sz val="12"/>
      <color theme="1"/>
      <name val="Calibri"/>
      <family val="2"/>
      <scheme val="minor"/>
    </font>
    <font>
      <sz val="12"/>
      <color rgb="FF000000"/>
      <name val="Calibri"/>
      <family val="2"/>
      <scheme val="minor"/>
    </font>
    <font>
      <sz val="8"/>
      <name val="Calibri"/>
      <family val="2"/>
      <scheme val="minor"/>
    </font>
    <font>
      <b/>
      <sz val="16"/>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8"/>
      <color theme="0"/>
      <name val="Calibri"/>
      <family val="2"/>
      <scheme val="minor"/>
    </font>
    <font>
      <vertAlign val="superscript"/>
      <sz val="11"/>
      <color theme="1"/>
      <name val="Calibri"/>
      <family val="2"/>
      <scheme val="minor"/>
    </font>
    <font>
      <b/>
      <sz val="14"/>
      <color theme="0"/>
      <name val="Calibri"/>
      <family val="2"/>
      <scheme val="minor"/>
    </font>
    <font>
      <b/>
      <i/>
      <sz val="11"/>
      <color theme="0"/>
      <name val="Calibri"/>
      <family val="2"/>
      <scheme val="minor"/>
    </font>
    <font>
      <b/>
      <i/>
      <sz val="8"/>
      <color theme="0"/>
      <name val="Calibri"/>
      <family val="2"/>
      <scheme val="minor"/>
    </font>
    <font>
      <vertAlign val="superscript"/>
      <sz val="11"/>
      <color theme="0"/>
      <name val="Calibri"/>
      <family val="2"/>
      <scheme val="minor"/>
    </font>
    <font>
      <vertAlign val="subscript"/>
      <sz val="11"/>
      <color theme="1"/>
      <name val="Calibri"/>
      <family val="2"/>
      <scheme val="minor"/>
    </font>
    <font>
      <b/>
      <vertAlign val="superscript"/>
      <sz val="11"/>
      <color theme="1"/>
      <name val="Calibri"/>
      <family val="2"/>
      <scheme val="minor"/>
    </font>
    <font>
      <sz val="14"/>
      <color theme="1"/>
      <name val="Calibri"/>
      <family val="2"/>
      <scheme val="minor"/>
    </font>
    <font>
      <i/>
      <sz val="14"/>
      <color theme="1"/>
      <name val="Calibri"/>
      <family val="2"/>
      <scheme val="minor"/>
    </font>
    <font>
      <b/>
      <vertAlign val="superscript"/>
      <sz val="11"/>
      <color theme="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6">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wrapText="1"/>
    </xf>
    <xf numFmtId="0" fontId="3" fillId="0" borderId="0" xfId="0" applyFont="1"/>
    <xf numFmtId="0" fontId="17" fillId="2" borderId="0" xfId="0" applyFont="1" applyFill="1"/>
    <xf numFmtId="0" fontId="16" fillId="2" borderId="0" xfId="0" applyFont="1" applyFill="1"/>
    <xf numFmtId="0" fontId="16" fillId="3" borderId="0" xfId="0" applyFont="1" applyFill="1"/>
    <xf numFmtId="0" fontId="0" fillId="3" borderId="0" xfId="0" applyFill="1"/>
    <xf numFmtId="1" fontId="0" fillId="3" borderId="0" xfId="0" applyNumberFormat="1" applyFill="1"/>
    <xf numFmtId="0" fontId="1" fillId="3" borderId="0" xfId="0" applyFont="1" applyFill="1" applyAlignment="1">
      <alignment horizontal="center"/>
    </xf>
    <xf numFmtId="1" fontId="1" fillId="3" borderId="0" xfId="0" applyNumberFormat="1" applyFont="1" applyFill="1"/>
    <xf numFmtId="0" fontId="1" fillId="3" borderId="0" xfId="0" applyFont="1" applyFill="1"/>
    <xf numFmtId="164" fontId="0" fillId="3" borderId="0" xfId="0" applyNumberFormat="1" applyFill="1"/>
    <xf numFmtId="0" fontId="0" fillId="3" borderId="1" xfId="0" applyFill="1" applyBorder="1"/>
    <xf numFmtId="1" fontId="0" fillId="3" borderId="1" xfId="0" applyNumberFormat="1" applyFill="1" applyBorder="1"/>
    <xf numFmtId="164" fontId="0" fillId="3" borderId="1" xfId="0" applyNumberFormat="1" applyFill="1" applyBorder="1"/>
    <xf numFmtId="0" fontId="0" fillId="3" borderId="0" xfId="0" applyFill="1" applyAlignment="1">
      <alignment horizontal="center"/>
    </xf>
    <xf numFmtId="1" fontId="0" fillId="3" borderId="0" xfId="0" applyNumberFormat="1" applyFill="1" applyAlignment="1">
      <alignment horizontal="center"/>
    </xf>
    <xf numFmtId="0" fontId="0" fillId="3" borderId="1" xfId="0" applyFill="1" applyBorder="1" applyAlignment="1">
      <alignment horizontal="center"/>
    </xf>
    <xf numFmtId="1" fontId="0" fillId="3" borderId="1" xfId="0" applyNumberFormat="1" applyFill="1" applyBorder="1" applyAlignment="1">
      <alignment horizontal="center"/>
    </xf>
    <xf numFmtId="1" fontId="1" fillId="3" borderId="0" xfId="0" applyNumberFormat="1" applyFont="1" applyFill="1" applyAlignment="1">
      <alignment horizontal="center"/>
    </xf>
    <xf numFmtId="164" fontId="0" fillId="3" borderId="1" xfId="0" applyNumberFormat="1" applyFill="1" applyBorder="1" applyAlignment="1">
      <alignment horizontal="center"/>
    </xf>
    <xf numFmtId="164" fontId="0" fillId="3" borderId="0" xfId="0" applyNumberFormat="1" applyFill="1" applyAlignment="1">
      <alignment horizontal="center"/>
    </xf>
    <xf numFmtId="0" fontId="16" fillId="2" borderId="0" xfId="0" applyFont="1" applyFill="1" applyAlignment="1">
      <alignment horizontal="right"/>
    </xf>
    <xf numFmtId="1" fontId="16" fillId="2" borderId="0" xfId="0" applyNumberFormat="1" applyFont="1" applyFill="1" applyAlignment="1">
      <alignment horizontal="right"/>
    </xf>
    <xf numFmtId="0" fontId="16" fillId="2" borderId="0" xfId="0" applyFont="1" applyFill="1" applyAlignment="1">
      <alignment horizontal="right" wrapText="1"/>
    </xf>
    <xf numFmtId="1" fontId="1" fillId="3" borderId="1" xfId="0" applyNumberFormat="1" applyFont="1" applyFill="1" applyBorder="1" applyAlignment="1">
      <alignment horizontal="center"/>
    </xf>
    <xf numFmtId="0" fontId="16" fillId="2" borderId="0" xfId="0" applyFont="1" applyFill="1" applyAlignment="1">
      <alignment horizontal="center"/>
    </xf>
    <xf numFmtId="1" fontId="14" fillId="2" borderId="0" xfId="0" applyNumberFormat="1" applyFont="1" applyFill="1" applyAlignment="1">
      <alignment horizontal="center"/>
    </xf>
    <xf numFmtId="0" fontId="14" fillId="2" borderId="0" xfId="0" applyFont="1" applyFill="1" applyAlignment="1">
      <alignment horizontal="center"/>
    </xf>
    <xf numFmtId="1" fontId="16" fillId="2" borderId="0" xfId="0" applyNumberFormat="1" applyFont="1" applyFill="1" applyAlignment="1">
      <alignment horizontal="center"/>
    </xf>
    <xf numFmtId="0" fontId="9"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0" fillId="3" borderId="0" xfId="0" applyFill="1" applyAlignment="1">
      <alignment horizontal="left" vertical="top" wrapText="1"/>
    </xf>
    <xf numFmtId="0" fontId="1" fillId="3" borderId="0" xfId="0" applyFont="1" applyFill="1" applyAlignment="1">
      <alignment vertical="center"/>
    </xf>
    <xf numFmtId="167" fontId="0" fillId="3" borderId="1" xfId="0" applyNumberFormat="1" applyFill="1" applyBorder="1" applyAlignment="1">
      <alignment horizontal="center" vertical="center"/>
    </xf>
    <xf numFmtId="11" fontId="0" fillId="3" borderId="0" xfId="0" applyNumberFormat="1" applyFill="1" applyAlignment="1">
      <alignment horizontal="center"/>
    </xf>
    <xf numFmtId="11" fontId="0" fillId="3" borderId="0" xfId="0" applyNumberFormat="1" applyFill="1"/>
    <xf numFmtId="3" fontId="8" fillId="3" borderId="0" xfId="0" applyNumberFormat="1" applyFont="1" applyFill="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vertical="center"/>
    </xf>
    <xf numFmtId="3" fontId="13" fillId="3" borderId="1" xfId="0" applyNumberFormat="1" applyFont="1" applyFill="1" applyBorder="1" applyAlignment="1" applyProtection="1">
      <alignment horizontal="center"/>
      <protection locked="0"/>
    </xf>
    <xf numFmtId="0" fontId="0" fillId="3" borderId="1" xfId="0" applyFill="1" applyBorder="1" applyAlignment="1">
      <alignment horizontal="center" vertical="top"/>
    </xf>
    <xf numFmtId="11" fontId="7" fillId="3" borderId="1" xfId="0" applyNumberFormat="1" applyFont="1" applyFill="1" applyBorder="1" applyAlignment="1">
      <alignment horizontal="center" vertical="center"/>
    </xf>
    <xf numFmtId="165" fontId="6" fillId="3" borderId="1" xfId="0" applyNumberFormat="1" applyFont="1" applyFill="1" applyBorder="1" applyAlignment="1">
      <alignment horizontal="center"/>
    </xf>
    <xf numFmtId="166" fontId="6" fillId="3" borderId="1" xfId="0" applyNumberFormat="1" applyFont="1" applyFill="1" applyBorder="1" applyAlignment="1">
      <alignment horizontal="center"/>
    </xf>
    <xf numFmtId="0" fontId="0" fillId="3" borderId="1" xfId="0" applyFill="1" applyBorder="1" applyAlignment="1">
      <alignment vertical="top"/>
    </xf>
    <xf numFmtId="11" fontId="0" fillId="3" borderId="1" xfId="0" applyNumberFormat="1" applyFill="1" applyBorder="1"/>
    <xf numFmtId="0" fontId="1" fillId="3" borderId="1" xfId="0" applyFont="1" applyFill="1" applyBorder="1"/>
    <xf numFmtId="11" fontId="10" fillId="3" borderId="1" xfId="0" applyNumberFormat="1" applyFont="1" applyFill="1" applyBorder="1" applyAlignment="1">
      <alignment horizontal="center" vertical="center"/>
    </xf>
    <xf numFmtId="11" fontId="0" fillId="3" borderId="1" xfId="0" applyNumberFormat="1" applyFill="1" applyBorder="1" applyAlignment="1">
      <alignment horizontal="center"/>
    </xf>
    <xf numFmtId="11" fontId="0" fillId="3" borderId="1" xfId="0" applyNumberFormat="1" applyFill="1" applyBorder="1" applyAlignment="1">
      <alignment horizontal="center" vertical="center"/>
    </xf>
    <xf numFmtId="0" fontId="1" fillId="3" borderId="0" xfId="0" applyFont="1" applyFill="1" applyAlignment="1">
      <alignment horizontal="center" vertical="center"/>
    </xf>
    <xf numFmtId="1" fontId="0" fillId="3" borderId="0" xfId="0" applyNumberFormat="1" applyFill="1" applyAlignment="1">
      <alignment horizontal="center" vertical="center"/>
    </xf>
    <xf numFmtId="0" fontId="0" fillId="3" borderId="0" xfId="0" quotePrefix="1" applyFill="1" applyAlignment="1">
      <alignment horizontal="center" vertical="center"/>
    </xf>
    <xf numFmtId="0" fontId="0" fillId="3" borderId="0" xfId="0" quotePrefix="1" applyFill="1" applyAlignment="1">
      <alignment horizontal="center"/>
    </xf>
    <xf numFmtId="0" fontId="16" fillId="2" borderId="0" xfId="0" applyFont="1" applyFill="1" applyAlignment="1">
      <alignment wrapText="1"/>
    </xf>
    <xf numFmtId="0" fontId="14" fillId="2" borderId="0" xfId="0" applyFont="1" applyFill="1"/>
    <xf numFmtId="1" fontId="14" fillId="2" borderId="0" xfId="0" applyNumberFormat="1" applyFont="1" applyFill="1"/>
    <xf numFmtId="164" fontId="14" fillId="2" borderId="0" xfId="0" applyNumberFormat="1" applyFont="1" applyFill="1"/>
    <xf numFmtId="1" fontId="14" fillId="2" borderId="1" xfId="0" applyNumberFormat="1" applyFont="1" applyFill="1" applyBorder="1"/>
    <xf numFmtId="0" fontId="14" fillId="2" borderId="1" xfId="0" applyFont="1" applyFill="1" applyBorder="1"/>
    <xf numFmtId="0" fontId="0" fillId="3" borderId="4" xfId="0" applyFill="1" applyBorder="1"/>
    <xf numFmtId="164" fontId="14" fillId="2" borderId="1" xfId="0" applyNumberFormat="1" applyFont="1" applyFill="1" applyBorder="1"/>
    <xf numFmtId="164" fontId="0" fillId="3" borderId="1" xfId="0" applyNumberFormat="1" applyFill="1" applyBorder="1" applyAlignment="1">
      <alignment horizontal="center" vertical="center"/>
    </xf>
    <xf numFmtId="164" fontId="14" fillId="2" borderId="0" xfId="0" applyNumberFormat="1" applyFont="1" applyFill="1" applyAlignment="1">
      <alignment horizontal="center"/>
    </xf>
    <xf numFmtId="1" fontId="4" fillId="3" borderId="0" xfId="0" applyNumberFormat="1" applyFont="1" applyFill="1" applyAlignment="1">
      <alignment horizontal="center"/>
    </xf>
    <xf numFmtId="164" fontId="1" fillId="3" borderId="1" xfId="0" applyNumberFormat="1" applyFont="1" applyFill="1" applyBorder="1" applyAlignment="1">
      <alignment horizontal="center"/>
    </xf>
    <xf numFmtId="0" fontId="14" fillId="2" borderId="1" xfId="0" applyFont="1" applyFill="1" applyBorder="1" applyAlignment="1">
      <alignment horizontal="center"/>
    </xf>
    <xf numFmtId="169" fontId="0" fillId="3" borderId="1" xfId="0" applyNumberFormat="1" applyFill="1" applyBorder="1" applyAlignment="1">
      <alignment horizontal="center" vertical="center"/>
    </xf>
    <xf numFmtId="169" fontId="0" fillId="3" borderId="1" xfId="0" applyNumberFormat="1" applyFill="1" applyBorder="1" applyAlignment="1">
      <alignment horizontal="center"/>
    </xf>
    <xf numFmtId="0" fontId="1" fillId="3" borderId="1" xfId="0" applyFont="1" applyFill="1" applyBorder="1" applyAlignment="1">
      <alignment horizontal="center" vertical="center"/>
    </xf>
    <xf numFmtId="1" fontId="0" fillId="3" borderId="1" xfId="0" applyNumberFormat="1" applyFill="1" applyBorder="1" applyAlignment="1">
      <alignment horizontal="center" vertical="center"/>
    </xf>
    <xf numFmtId="168" fontId="0" fillId="3" borderId="1" xfId="0" applyNumberFormat="1" applyFill="1" applyBorder="1" applyAlignment="1">
      <alignment horizontal="center"/>
    </xf>
    <xf numFmtId="0" fontId="14" fillId="3" borderId="0" xfId="0" applyFont="1" applyFill="1" applyAlignment="1">
      <alignment horizontal="center"/>
    </xf>
    <xf numFmtId="2" fontId="0" fillId="3" borderId="1" xfId="0" applyNumberFormat="1" applyFill="1" applyBorder="1" applyAlignment="1">
      <alignment horizontal="center"/>
    </xf>
    <xf numFmtId="164" fontId="0" fillId="3" borderId="0" xfId="0" applyNumberFormat="1" applyFill="1" applyAlignment="1">
      <alignment horizontal="center" vertical="center"/>
    </xf>
    <xf numFmtId="0" fontId="14" fillId="3" borderId="0" xfId="0" applyFont="1" applyFill="1" applyAlignment="1">
      <alignment wrapText="1"/>
    </xf>
    <xf numFmtId="0" fontId="1" fillId="3" borderId="0" xfId="0" applyFont="1" applyFill="1" applyAlignment="1">
      <alignment horizontal="center" wrapText="1"/>
    </xf>
    <xf numFmtId="0" fontId="0" fillId="0" borderId="1" xfId="0" applyBorder="1" applyAlignment="1">
      <alignment horizontal="center"/>
    </xf>
    <xf numFmtId="1" fontId="0" fillId="0" borderId="1" xfId="0" applyNumberFormat="1" applyBorder="1" applyAlignment="1">
      <alignment horizontal="center"/>
    </xf>
    <xf numFmtId="168" fontId="0" fillId="0" borderId="1" xfId="0" applyNumberFormat="1" applyBorder="1" applyAlignment="1">
      <alignment horizont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vertical="center"/>
    </xf>
    <xf numFmtId="1" fontId="14" fillId="0" borderId="0" xfId="0" applyNumberFormat="1" applyFont="1" applyAlignment="1">
      <alignment horizontal="center"/>
    </xf>
    <xf numFmtId="0" fontId="0" fillId="3" borderId="0" xfId="0" applyFill="1" applyAlignment="1">
      <alignment vertical="top" wrapText="1"/>
    </xf>
    <xf numFmtId="0" fontId="16" fillId="0" borderId="0" xfId="0" applyFont="1" applyAlignment="1">
      <alignment horizontal="center"/>
    </xf>
    <xf numFmtId="0" fontId="9" fillId="0" borderId="0" xfId="0" applyFont="1"/>
    <xf numFmtId="0" fontId="25" fillId="0" borderId="0" xfId="0" applyFont="1" applyAlignment="1">
      <alignment vertical="center"/>
    </xf>
    <xf numFmtId="0" fontId="14" fillId="2" borderId="0" xfId="0" applyFont="1" applyFill="1" applyAlignment="1">
      <alignment horizontal="left"/>
    </xf>
    <xf numFmtId="0" fontId="17" fillId="2" borderId="0" xfId="0" applyFont="1" applyFill="1" applyAlignment="1">
      <alignment horizontal="center"/>
    </xf>
    <xf numFmtId="0" fontId="17" fillId="2" borderId="0" xfId="0" applyFont="1" applyFill="1" applyAlignment="1">
      <alignment horizontal="center" wrapText="1"/>
    </xf>
    <xf numFmtId="0" fontId="0" fillId="0" borderId="0" xfId="0" applyAlignment="1">
      <alignment horizontal="left" vertical="top" wrapText="1"/>
    </xf>
    <xf numFmtId="0" fontId="5" fillId="0" borderId="0" xfId="0" applyFont="1" applyAlignment="1">
      <alignment horizontal="center" vertical="center" wrapText="1"/>
    </xf>
    <xf numFmtId="0" fontId="0" fillId="0" borderId="0" xfId="0" applyAlignment="1">
      <alignment horizontal="left" wrapText="1"/>
    </xf>
    <xf numFmtId="0" fontId="1" fillId="3" borderId="0" xfId="0" applyFont="1" applyFill="1" applyAlignment="1">
      <alignment horizontal="center"/>
    </xf>
    <xf numFmtId="0" fontId="0" fillId="3" borderId="0" xfId="0" applyFill="1" applyAlignment="1">
      <alignment horizontal="center" vertical="top" wrapText="1"/>
    </xf>
    <xf numFmtId="0" fontId="0" fillId="3" borderId="1" xfId="0" applyFill="1" applyBorder="1" applyAlignment="1">
      <alignment horizont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3" fillId="3" borderId="0" xfId="0" applyFont="1" applyFill="1" applyAlignment="1">
      <alignment horizontal="center" wrapText="1"/>
    </xf>
    <xf numFmtId="0" fontId="0" fillId="3" borderId="0" xfId="0" applyFill="1" applyAlignment="1">
      <alignment horizontal="center"/>
    </xf>
    <xf numFmtId="0" fontId="0" fillId="3" borderId="0" xfId="0" applyFill="1" applyAlignment="1">
      <alignment horizontal="left" vertical="top" wrapText="1"/>
    </xf>
    <xf numFmtId="0" fontId="16" fillId="2" borderId="0" xfId="0" applyFont="1" applyFill="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0" fillId="3" borderId="1" xfId="0" applyFill="1" applyBorder="1" applyAlignment="1">
      <alignment horizontal="left"/>
    </xf>
    <xf numFmtId="0" fontId="2" fillId="3" borderId="1" xfId="1" applyFill="1" applyBorder="1" applyAlignment="1">
      <alignment horizontal="center" wrapText="1"/>
    </xf>
    <xf numFmtId="0" fontId="0" fillId="3" borderId="0" xfId="0" applyFill="1" applyAlignment="1">
      <alignment horizontal="left"/>
    </xf>
    <xf numFmtId="0" fontId="0" fillId="3" borderId="1" xfId="0" applyFill="1" applyBorder="1" applyAlignment="1">
      <alignment horizontal="center"/>
    </xf>
    <xf numFmtId="0" fontId="14" fillId="2" borderId="1" xfId="0" applyFont="1" applyFill="1" applyBorder="1" applyAlignment="1">
      <alignment horizontal="left"/>
    </xf>
    <xf numFmtId="0" fontId="0" fillId="3" borderId="1" xfId="0" applyFill="1" applyBorder="1" applyAlignment="1">
      <alignment horizontal="left" vertical="top"/>
    </xf>
    <xf numFmtId="0" fontId="5" fillId="3" borderId="0" xfId="0" applyFont="1" applyFill="1" applyAlignment="1">
      <alignment horizontal="center" vertical="center"/>
    </xf>
    <xf numFmtId="0" fontId="12" fillId="3" borderId="0" xfId="0" applyFont="1" applyFill="1" applyAlignment="1">
      <alignment horizontal="center" vertical="center"/>
    </xf>
    <xf numFmtId="0" fontId="0" fillId="3" borderId="1" xfId="0" applyFill="1" applyBorder="1" applyAlignment="1">
      <alignment horizontal="left" vertical="center"/>
    </xf>
    <xf numFmtId="0" fontId="0" fillId="3" borderId="1" xfId="0" applyFill="1" applyBorder="1" applyAlignment="1">
      <alignment horizontal="center" vertical="top"/>
    </xf>
    <xf numFmtId="0" fontId="5" fillId="3" borderId="0" xfId="0" applyFont="1" applyFill="1" applyAlignment="1">
      <alignment horizontal="center"/>
    </xf>
    <xf numFmtId="0" fontId="1" fillId="3" borderId="0" xfId="0" applyFont="1" applyFill="1" applyAlignment="1">
      <alignment horizontal="center" wrapText="1"/>
    </xf>
    <xf numFmtId="0" fontId="0" fillId="3" borderId="0" xfId="0" applyFill="1" applyAlignment="1">
      <alignment horizontal="center" wrapText="1"/>
    </xf>
    <xf numFmtId="0" fontId="0" fillId="3" borderId="0" xfId="0" applyFill="1" applyAlignment="1">
      <alignment horizontal="center" vertical="center" wrapText="1"/>
    </xf>
    <xf numFmtId="0" fontId="14" fillId="2" borderId="1" xfId="0" applyFont="1" applyFill="1" applyBorder="1" applyAlignment="1">
      <alignment horizontal="center" wrapText="1"/>
    </xf>
    <xf numFmtId="0" fontId="14" fillId="2" borderId="1" xfId="0" applyFont="1" applyFill="1" applyBorder="1" applyAlignment="1">
      <alignment wrapText="1"/>
    </xf>
    <xf numFmtId="0" fontId="14" fillId="2" borderId="1" xfId="0" applyFont="1" applyFill="1" applyBorder="1" applyAlignment="1">
      <alignment horizontal="center"/>
    </xf>
    <xf numFmtId="0" fontId="14" fillId="2" borderId="2" xfId="0" applyFont="1" applyFill="1" applyBorder="1" applyAlignment="1">
      <alignment horizontal="center"/>
    </xf>
    <xf numFmtId="0" fontId="14" fillId="2" borderId="5" xfId="0" applyFont="1" applyFill="1" applyBorder="1" applyAlignment="1">
      <alignment horizontal="center"/>
    </xf>
    <xf numFmtId="0" fontId="14" fillId="2" borderId="3" xfId="0" applyFont="1" applyFill="1" applyBorder="1" applyAlignment="1">
      <alignment horizontal="center" wrapText="1"/>
    </xf>
    <xf numFmtId="0" fontId="14" fillId="2" borderId="4" xfId="0" applyFont="1" applyFill="1" applyBorder="1" applyAlignment="1">
      <alignment horizontal="center" wrapText="1"/>
    </xf>
    <xf numFmtId="1" fontId="0" fillId="3" borderId="0" xfId="0" applyNumberFormat="1" applyFill="1" applyAlignment="1">
      <alignment horizontal="left" vertical="top" wrapText="1"/>
    </xf>
    <xf numFmtId="1" fontId="2" fillId="3" borderId="0" xfId="1" applyNumberFormat="1" applyFill="1" applyAlignment="1">
      <alignment horizontal="center" vertical="center" wrapText="1"/>
    </xf>
    <xf numFmtId="1" fontId="0" fillId="3" borderId="0" xfId="0" applyNumberFormat="1" applyFill="1" applyAlignment="1">
      <alignment horizontal="center" vertical="center" wrapText="1"/>
    </xf>
    <xf numFmtId="0" fontId="19" fillId="2" borderId="0" xfId="0" applyFont="1" applyFill="1" applyAlignment="1">
      <alignment horizontal="center"/>
    </xf>
    <xf numFmtId="0" fontId="14" fillId="2" borderId="1" xfId="0" applyFont="1" applyFill="1" applyBorder="1" applyAlignment="1">
      <alignment horizontal="center" vertical="center"/>
    </xf>
    <xf numFmtId="0" fontId="0" fillId="0" borderId="0" xfId="0"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11.png"/><Relationship Id="rId4"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editAs="oneCell">
    <xdr:from>
      <xdr:col>15</xdr:col>
      <xdr:colOff>466512</xdr:colOff>
      <xdr:row>42</xdr:row>
      <xdr:rowOff>103067</xdr:rowOff>
    </xdr:from>
    <xdr:to>
      <xdr:col>23</xdr:col>
      <xdr:colOff>102976</xdr:colOff>
      <xdr:row>59</xdr:row>
      <xdr:rowOff>395</xdr:rowOff>
    </xdr:to>
    <xdr:pic>
      <xdr:nvPicPr>
        <xdr:cNvPr id="2" name="Picture 1">
          <a:extLst>
            <a:ext uri="{FF2B5EF4-FFF2-40B4-BE49-F238E27FC236}">
              <a16:creationId xmlns:a16="http://schemas.microsoft.com/office/drawing/2014/main" id="{FCECC5A2-C5A5-AB9A-ECEF-94CF2C96292F}"/>
            </a:ext>
          </a:extLst>
        </xdr:cNvPr>
        <xdr:cNvPicPr>
          <a:picLocks noChangeAspect="1"/>
        </xdr:cNvPicPr>
      </xdr:nvPicPr>
      <xdr:blipFill>
        <a:blip xmlns:r="http://schemas.openxmlformats.org/officeDocument/2006/relationships" r:embed="rId1"/>
        <a:stretch>
          <a:fillRect/>
        </a:stretch>
      </xdr:blipFill>
      <xdr:spPr>
        <a:xfrm>
          <a:off x="11442941" y="7844019"/>
          <a:ext cx="6268255" cy="2980104"/>
        </a:xfrm>
        <a:prstGeom prst="rect">
          <a:avLst/>
        </a:prstGeom>
      </xdr:spPr>
    </xdr:pic>
    <xdr:clientData/>
  </xdr:twoCellAnchor>
  <xdr:twoCellAnchor editAs="oneCell">
    <xdr:from>
      <xdr:col>0</xdr:col>
      <xdr:colOff>0</xdr:colOff>
      <xdr:row>49</xdr:row>
      <xdr:rowOff>1</xdr:rowOff>
    </xdr:from>
    <xdr:to>
      <xdr:col>10</xdr:col>
      <xdr:colOff>594024</xdr:colOff>
      <xdr:row>71</xdr:row>
      <xdr:rowOff>141111</xdr:rowOff>
    </xdr:to>
    <xdr:pic>
      <xdr:nvPicPr>
        <xdr:cNvPr id="5" name="Picture 4">
          <a:extLst>
            <a:ext uri="{FF2B5EF4-FFF2-40B4-BE49-F238E27FC236}">
              <a16:creationId xmlns:a16="http://schemas.microsoft.com/office/drawing/2014/main" id="{96987854-A1AC-C369-8F7E-9728143B6C09}"/>
            </a:ext>
          </a:extLst>
        </xdr:cNvPr>
        <xdr:cNvPicPr>
          <a:picLocks noChangeAspect="1"/>
        </xdr:cNvPicPr>
      </xdr:nvPicPr>
      <xdr:blipFill>
        <a:blip xmlns:r="http://schemas.openxmlformats.org/officeDocument/2006/relationships" r:embed="rId2"/>
        <a:stretch>
          <a:fillRect/>
        </a:stretch>
      </xdr:blipFill>
      <xdr:spPr>
        <a:xfrm>
          <a:off x="0" y="8592100"/>
          <a:ext cx="10252135" cy="4107900"/>
        </a:xfrm>
        <a:prstGeom prst="rect">
          <a:avLst/>
        </a:prstGeom>
      </xdr:spPr>
    </xdr:pic>
    <xdr:clientData/>
  </xdr:twoCellAnchor>
  <xdr:twoCellAnchor editAs="oneCell">
    <xdr:from>
      <xdr:col>0</xdr:col>
      <xdr:colOff>0</xdr:colOff>
      <xdr:row>74</xdr:row>
      <xdr:rowOff>0</xdr:rowOff>
    </xdr:from>
    <xdr:to>
      <xdr:col>10</xdr:col>
      <xdr:colOff>682197</xdr:colOff>
      <xdr:row>92</xdr:row>
      <xdr:rowOff>45188</xdr:rowOff>
    </xdr:to>
    <xdr:pic>
      <xdr:nvPicPr>
        <xdr:cNvPr id="6" name="Picture 5">
          <a:extLst>
            <a:ext uri="{FF2B5EF4-FFF2-40B4-BE49-F238E27FC236}">
              <a16:creationId xmlns:a16="http://schemas.microsoft.com/office/drawing/2014/main" id="{4202D42A-C651-3B6A-BA08-32CED9815F7F}"/>
            </a:ext>
          </a:extLst>
        </xdr:cNvPr>
        <xdr:cNvPicPr>
          <a:picLocks noChangeAspect="1"/>
        </xdr:cNvPicPr>
      </xdr:nvPicPr>
      <xdr:blipFill>
        <a:blip xmlns:r="http://schemas.openxmlformats.org/officeDocument/2006/relationships" r:embed="rId3"/>
        <a:stretch>
          <a:fillRect/>
        </a:stretch>
      </xdr:blipFill>
      <xdr:spPr>
        <a:xfrm>
          <a:off x="0" y="13099815"/>
          <a:ext cx="10340308" cy="3290743"/>
        </a:xfrm>
        <a:prstGeom prst="rect">
          <a:avLst/>
        </a:prstGeom>
      </xdr:spPr>
    </xdr:pic>
    <xdr:clientData/>
  </xdr:twoCellAnchor>
  <xdr:twoCellAnchor editAs="oneCell">
    <xdr:from>
      <xdr:col>14</xdr:col>
      <xdr:colOff>129688</xdr:colOff>
      <xdr:row>60</xdr:row>
      <xdr:rowOff>45377</xdr:rowOff>
    </xdr:from>
    <xdr:to>
      <xdr:col>27</xdr:col>
      <xdr:colOff>556037</xdr:colOff>
      <xdr:row>81</xdr:row>
      <xdr:rowOff>53217</xdr:rowOff>
    </xdr:to>
    <xdr:pic>
      <xdr:nvPicPr>
        <xdr:cNvPr id="7" name="Picture 6">
          <a:extLst>
            <a:ext uri="{FF2B5EF4-FFF2-40B4-BE49-F238E27FC236}">
              <a16:creationId xmlns:a16="http://schemas.microsoft.com/office/drawing/2014/main" id="{42934C6C-78B4-2639-8E22-41988535FCFA}"/>
            </a:ext>
          </a:extLst>
        </xdr:cNvPr>
        <xdr:cNvPicPr>
          <a:picLocks noChangeAspect="1"/>
        </xdr:cNvPicPr>
      </xdr:nvPicPr>
      <xdr:blipFill>
        <a:blip xmlns:r="http://schemas.openxmlformats.org/officeDocument/2006/relationships" r:embed="rId4"/>
        <a:stretch>
          <a:fillRect/>
        </a:stretch>
      </xdr:blipFill>
      <xdr:spPr>
        <a:xfrm>
          <a:off x="10501355" y="11052044"/>
          <a:ext cx="10408402" cy="3817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57651</xdr:colOff>
      <xdr:row>42</xdr:row>
      <xdr:rowOff>47615</xdr:rowOff>
    </xdr:from>
    <xdr:to>
      <xdr:col>26</xdr:col>
      <xdr:colOff>341252</xdr:colOff>
      <xdr:row>56</xdr:row>
      <xdr:rowOff>656</xdr:rowOff>
    </xdr:to>
    <xdr:pic>
      <xdr:nvPicPr>
        <xdr:cNvPr id="6" name="Picture 5">
          <a:extLst>
            <a:ext uri="{FF2B5EF4-FFF2-40B4-BE49-F238E27FC236}">
              <a16:creationId xmlns:a16="http://schemas.microsoft.com/office/drawing/2014/main" id="{86D92CA6-3316-6D64-B1C6-A27925F151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57713" y="11164035"/>
          <a:ext cx="3803540" cy="2477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17</xdr:row>
      <xdr:rowOff>54353</xdr:rowOff>
    </xdr:from>
    <xdr:to>
      <xdr:col>7</xdr:col>
      <xdr:colOff>2590800</xdr:colOff>
      <xdr:row>35</xdr:row>
      <xdr:rowOff>37192</xdr:rowOff>
    </xdr:to>
    <xdr:pic>
      <xdr:nvPicPr>
        <xdr:cNvPr id="2" name="Picture 1">
          <a:extLst>
            <a:ext uri="{FF2B5EF4-FFF2-40B4-BE49-F238E27FC236}">
              <a16:creationId xmlns:a16="http://schemas.microsoft.com/office/drawing/2014/main" id="{DA7475CC-D9CE-4F87-B02B-33BF1528021F}"/>
            </a:ext>
          </a:extLst>
        </xdr:cNvPr>
        <xdr:cNvPicPr>
          <a:picLocks noChangeAspect="1"/>
        </xdr:cNvPicPr>
      </xdr:nvPicPr>
      <xdr:blipFill>
        <a:blip xmlns:r="http://schemas.openxmlformats.org/officeDocument/2006/relationships" r:embed="rId2"/>
        <a:stretch>
          <a:fillRect/>
        </a:stretch>
      </xdr:blipFill>
      <xdr:spPr>
        <a:xfrm>
          <a:off x="2044701" y="3496053"/>
          <a:ext cx="11671299" cy="3813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20</xdr:row>
      <xdr:rowOff>0</xdr:rowOff>
    </xdr:from>
    <xdr:to>
      <xdr:col>22</xdr:col>
      <xdr:colOff>576512</xdr:colOff>
      <xdr:row>46</xdr:row>
      <xdr:rowOff>151762</xdr:rowOff>
    </xdr:to>
    <xdr:pic>
      <xdr:nvPicPr>
        <xdr:cNvPr id="2" name="Picture 1">
          <a:extLst>
            <a:ext uri="{FF2B5EF4-FFF2-40B4-BE49-F238E27FC236}">
              <a16:creationId xmlns:a16="http://schemas.microsoft.com/office/drawing/2014/main" id="{5E574A23-3238-E637-224E-2420B71FBFD3}"/>
            </a:ext>
          </a:extLst>
        </xdr:cNvPr>
        <xdr:cNvPicPr>
          <a:picLocks noChangeAspect="1"/>
        </xdr:cNvPicPr>
      </xdr:nvPicPr>
      <xdr:blipFill>
        <a:blip xmlns:r="http://schemas.openxmlformats.org/officeDocument/2006/relationships" r:embed="rId1"/>
        <a:stretch>
          <a:fillRect/>
        </a:stretch>
      </xdr:blipFill>
      <xdr:spPr>
        <a:xfrm>
          <a:off x="8331200" y="3238500"/>
          <a:ext cx="10704762" cy="5104762"/>
        </a:xfrm>
        <a:prstGeom prst="rect">
          <a:avLst/>
        </a:prstGeom>
      </xdr:spPr>
    </xdr:pic>
    <xdr:clientData/>
  </xdr:twoCellAnchor>
  <xdr:twoCellAnchor editAs="oneCell">
    <xdr:from>
      <xdr:col>36</xdr:col>
      <xdr:colOff>1624094</xdr:colOff>
      <xdr:row>19</xdr:row>
      <xdr:rowOff>107626</xdr:rowOff>
    </xdr:from>
    <xdr:to>
      <xdr:col>42</xdr:col>
      <xdr:colOff>2733931</xdr:colOff>
      <xdr:row>45</xdr:row>
      <xdr:rowOff>99287</xdr:rowOff>
    </xdr:to>
    <xdr:pic>
      <xdr:nvPicPr>
        <xdr:cNvPr id="4" name="Picture 3">
          <a:extLst>
            <a:ext uri="{FF2B5EF4-FFF2-40B4-BE49-F238E27FC236}">
              <a16:creationId xmlns:a16="http://schemas.microsoft.com/office/drawing/2014/main" id="{B1506F05-C11A-D47E-1C3A-03FEA01C7725}"/>
            </a:ext>
          </a:extLst>
        </xdr:cNvPr>
        <xdr:cNvPicPr>
          <a:picLocks noChangeAspect="1"/>
        </xdr:cNvPicPr>
      </xdr:nvPicPr>
      <xdr:blipFill>
        <a:blip xmlns:r="http://schemas.openxmlformats.org/officeDocument/2006/relationships" r:embed="rId2"/>
        <a:stretch>
          <a:fillRect/>
        </a:stretch>
      </xdr:blipFill>
      <xdr:spPr>
        <a:xfrm>
          <a:off x="31532594" y="3536626"/>
          <a:ext cx="11995073" cy="4944660"/>
        </a:xfrm>
        <a:prstGeom prst="rect">
          <a:avLst/>
        </a:prstGeom>
      </xdr:spPr>
    </xdr:pic>
    <xdr:clientData/>
  </xdr:twoCellAnchor>
  <xdr:twoCellAnchor editAs="oneCell">
    <xdr:from>
      <xdr:col>15</xdr:col>
      <xdr:colOff>312118</xdr:colOff>
      <xdr:row>48</xdr:row>
      <xdr:rowOff>170051</xdr:rowOff>
    </xdr:from>
    <xdr:to>
      <xdr:col>29</xdr:col>
      <xdr:colOff>565683</xdr:colOff>
      <xdr:row>73</xdr:row>
      <xdr:rowOff>113865</xdr:rowOff>
    </xdr:to>
    <xdr:pic>
      <xdr:nvPicPr>
        <xdr:cNvPr id="5" name="Picture 4">
          <a:extLst>
            <a:ext uri="{FF2B5EF4-FFF2-40B4-BE49-F238E27FC236}">
              <a16:creationId xmlns:a16="http://schemas.microsoft.com/office/drawing/2014/main" id="{D6874637-E183-C9DC-1183-20BBAC58D5CB}"/>
            </a:ext>
          </a:extLst>
        </xdr:cNvPr>
        <xdr:cNvPicPr>
          <a:picLocks noChangeAspect="1"/>
        </xdr:cNvPicPr>
      </xdr:nvPicPr>
      <xdr:blipFill>
        <a:blip xmlns:r="http://schemas.openxmlformats.org/officeDocument/2006/relationships" r:embed="rId3"/>
        <a:stretch>
          <a:fillRect/>
        </a:stretch>
      </xdr:blipFill>
      <xdr:spPr>
        <a:xfrm>
          <a:off x="14292881" y="8769458"/>
          <a:ext cx="11460523" cy="4517965"/>
        </a:xfrm>
        <a:prstGeom prst="rect">
          <a:avLst/>
        </a:prstGeom>
      </xdr:spPr>
    </xdr:pic>
    <xdr:clientData/>
  </xdr:twoCellAnchor>
  <xdr:twoCellAnchor editAs="oneCell">
    <xdr:from>
      <xdr:col>32</xdr:col>
      <xdr:colOff>278754</xdr:colOff>
      <xdr:row>51</xdr:row>
      <xdr:rowOff>148526</xdr:rowOff>
    </xdr:from>
    <xdr:to>
      <xdr:col>40</xdr:col>
      <xdr:colOff>568039</xdr:colOff>
      <xdr:row>72</xdr:row>
      <xdr:rowOff>14524</xdr:rowOff>
    </xdr:to>
    <xdr:pic>
      <xdr:nvPicPr>
        <xdr:cNvPr id="6" name="Picture 5">
          <a:extLst>
            <a:ext uri="{FF2B5EF4-FFF2-40B4-BE49-F238E27FC236}">
              <a16:creationId xmlns:a16="http://schemas.microsoft.com/office/drawing/2014/main" id="{A5AFC224-D48B-4044-3686-C4B2CFBF2823}"/>
            </a:ext>
          </a:extLst>
        </xdr:cNvPr>
        <xdr:cNvPicPr>
          <a:picLocks noChangeAspect="1"/>
        </xdr:cNvPicPr>
      </xdr:nvPicPr>
      <xdr:blipFill>
        <a:blip xmlns:r="http://schemas.openxmlformats.org/officeDocument/2006/relationships" r:embed="rId4"/>
        <a:stretch>
          <a:fillRect/>
        </a:stretch>
      </xdr:blipFill>
      <xdr:spPr>
        <a:xfrm>
          <a:off x="27329754" y="9673526"/>
          <a:ext cx="11453586" cy="3866498"/>
        </a:xfrm>
        <a:prstGeom prst="rect">
          <a:avLst/>
        </a:prstGeom>
      </xdr:spPr>
    </xdr:pic>
    <xdr:clientData/>
  </xdr:twoCellAnchor>
  <xdr:twoCellAnchor editAs="oneCell">
    <xdr:from>
      <xdr:col>24</xdr:col>
      <xdr:colOff>979406</xdr:colOff>
      <xdr:row>20</xdr:row>
      <xdr:rowOff>32288</xdr:rowOff>
    </xdr:from>
    <xdr:to>
      <xdr:col>36</xdr:col>
      <xdr:colOff>709741</xdr:colOff>
      <xdr:row>47</xdr:row>
      <xdr:rowOff>143413</xdr:rowOff>
    </xdr:to>
    <xdr:pic>
      <xdr:nvPicPr>
        <xdr:cNvPr id="8" name="Picture 7">
          <a:extLst>
            <a:ext uri="{FF2B5EF4-FFF2-40B4-BE49-F238E27FC236}">
              <a16:creationId xmlns:a16="http://schemas.microsoft.com/office/drawing/2014/main" id="{6CD95C4B-8694-37AA-0B16-8C511180FB2E}"/>
            </a:ext>
          </a:extLst>
        </xdr:cNvPr>
        <xdr:cNvPicPr>
          <a:picLocks noChangeAspect="1"/>
        </xdr:cNvPicPr>
      </xdr:nvPicPr>
      <xdr:blipFill>
        <a:blip xmlns:r="http://schemas.openxmlformats.org/officeDocument/2006/relationships" r:embed="rId5"/>
        <a:stretch>
          <a:fillRect/>
        </a:stretch>
      </xdr:blipFill>
      <xdr:spPr>
        <a:xfrm>
          <a:off x="20578304" y="3508644"/>
          <a:ext cx="10055038" cy="50512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171451</xdr:colOff>
      <xdr:row>12</xdr:row>
      <xdr:rowOff>50800</xdr:rowOff>
    </xdr:from>
    <xdr:to>
      <xdr:col>8</xdr:col>
      <xdr:colOff>114301</xdr:colOff>
      <xdr:row>15</xdr:row>
      <xdr:rowOff>53643</xdr:rowOff>
    </xdr:to>
    <xdr:pic>
      <xdr:nvPicPr>
        <xdr:cNvPr id="2" name="Picture 1">
          <a:extLst>
            <a:ext uri="{FF2B5EF4-FFF2-40B4-BE49-F238E27FC236}">
              <a16:creationId xmlns:a16="http://schemas.microsoft.com/office/drawing/2014/main" id="{931CF774-9BD7-7216-78E7-00CFF30BDEA3}"/>
            </a:ext>
          </a:extLst>
        </xdr:cNvPr>
        <xdr:cNvPicPr>
          <a:picLocks noChangeAspect="1"/>
        </xdr:cNvPicPr>
      </xdr:nvPicPr>
      <xdr:blipFill>
        <a:blip xmlns:r="http://schemas.openxmlformats.org/officeDocument/2006/relationships" r:embed="rId1"/>
        <a:stretch>
          <a:fillRect/>
        </a:stretch>
      </xdr:blipFill>
      <xdr:spPr>
        <a:xfrm>
          <a:off x="3219451" y="1892300"/>
          <a:ext cx="1771650" cy="555293"/>
        </a:xfrm>
        <a:prstGeom prst="rect">
          <a:avLst/>
        </a:prstGeom>
      </xdr:spPr>
    </xdr:pic>
    <xdr:clientData/>
  </xdr:twoCellAnchor>
  <xdr:twoCellAnchor editAs="oneCell">
    <xdr:from>
      <xdr:col>10</xdr:col>
      <xdr:colOff>527050</xdr:colOff>
      <xdr:row>12</xdr:row>
      <xdr:rowOff>76200</xdr:rowOff>
    </xdr:from>
    <xdr:to>
      <xdr:col>13</xdr:col>
      <xdr:colOff>660155</xdr:colOff>
      <xdr:row>14</xdr:row>
      <xdr:rowOff>136471</xdr:rowOff>
    </xdr:to>
    <xdr:pic>
      <xdr:nvPicPr>
        <xdr:cNvPr id="3" name="Picture 2">
          <a:extLst>
            <a:ext uri="{FF2B5EF4-FFF2-40B4-BE49-F238E27FC236}">
              <a16:creationId xmlns:a16="http://schemas.microsoft.com/office/drawing/2014/main" id="{8D60D53F-FB4B-B508-A9F2-063F6D01FE80}"/>
            </a:ext>
          </a:extLst>
        </xdr:cNvPr>
        <xdr:cNvPicPr>
          <a:picLocks noChangeAspect="1"/>
        </xdr:cNvPicPr>
      </xdr:nvPicPr>
      <xdr:blipFill>
        <a:blip xmlns:r="http://schemas.openxmlformats.org/officeDocument/2006/relationships" r:embed="rId2"/>
        <a:stretch>
          <a:fillRect/>
        </a:stretch>
      </xdr:blipFill>
      <xdr:spPr>
        <a:xfrm>
          <a:off x="6623050" y="1917700"/>
          <a:ext cx="1961905" cy="4285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196850</xdr:colOff>
      <xdr:row>2</xdr:row>
      <xdr:rowOff>76200</xdr:rowOff>
    </xdr:from>
    <xdr:to>
      <xdr:col>4</xdr:col>
      <xdr:colOff>444500</xdr:colOff>
      <xdr:row>15</xdr:row>
      <xdr:rowOff>38100</xdr:rowOff>
    </xdr:to>
    <xdr:pic>
      <xdr:nvPicPr>
        <xdr:cNvPr id="3" name="Picture 4">
          <a:extLst>
            <a:ext uri="{FF2B5EF4-FFF2-40B4-BE49-F238E27FC236}">
              <a16:creationId xmlns:a16="http://schemas.microsoft.com/office/drawing/2014/main" id="{DDB21ACC-57BB-72F5-A4B7-DF6C853E9F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50" y="444500"/>
          <a:ext cx="2686050" cy="235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114300</xdr:colOff>
      <xdr:row>2</xdr:row>
      <xdr:rowOff>57150</xdr:rowOff>
    </xdr:from>
    <xdr:to>
      <xdr:col>9</xdr:col>
      <xdr:colOff>552450</xdr:colOff>
      <xdr:row>16</xdr:row>
      <xdr:rowOff>165100</xdr:rowOff>
    </xdr:to>
    <xdr:pic>
      <xdr:nvPicPr>
        <xdr:cNvPr id="4" name="Picture 6">
          <a:extLst>
            <a:ext uri="{FF2B5EF4-FFF2-40B4-BE49-F238E27FC236}">
              <a16:creationId xmlns:a16="http://schemas.microsoft.com/office/drawing/2014/main" id="{758B6776-47E0-48E6-05F4-34F1324C85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62300" y="425450"/>
          <a:ext cx="2876550"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10</xdr:col>
      <xdr:colOff>465981</xdr:colOff>
      <xdr:row>24</xdr:row>
      <xdr:rowOff>6257</xdr:rowOff>
    </xdr:to>
    <xdr:pic>
      <xdr:nvPicPr>
        <xdr:cNvPr id="5" name="Picture 4">
          <a:extLst>
            <a:ext uri="{FF2B5EF4-FFF2-40B4-BE49-F238E27FC236}">
              <a16:creationId xmlns:a16="http://schemas.microsoft.com/office/drawing/2014/main" id="{8B2B647E-1CA1-B1A4-0BCE-3D9466D4E4F5}"/>
            </a:ext>
          </a:extLst>
        </xdr:cNvPr>
        <xdr:cNvPicPr>
          <a:picLocks noChangeAspect="1"/>
        </xdr:cNvPicPr>
      </xdr:nvPicPr>
      <xdr:blipFill>
        <a:blip xmlns:r="http://schemas.openxmlformats.org/officeDocument/2006/relationships" r:embed="rId3"/>
        <a:stretch>
          <a:fillRect/>
        </a:stretch>
      </xdr:blipFill>
      <xdr:spPr>
        <a:xfrm>
          <a:off x="609600" y="3683000"/>
          <a:ext cx="5952381" cy="742857"/>
        </a:xfrm>
        <a:prstGeom prst="rect">
          <a:avLst/>
        </a:prstGeom>
      </xdr:spPr>
    </xdr:pic>
    <xdr:clientData/>
  </xdr:twoCellAnchor>
  <xdr:twoCellAnchor editAs="oneCell">
    <xdr:from>
      <xdr:col>11</xdr:col>
      <xdr:colOff>0</xdr:colOff>
      <xdr:row>3</xdr:row>
      <xdr:rowOff>0</xdr:rowOff>
    </xdr:from>
    <xdr:to>
      <xdr:col>22</xdr:col>
      <xdr:colOff>189638</xdr:colOff>
      <xdr:row>46</xdr:row>
      <xdr:rowOff>176788</xdr:rowOff>
    </xdr:to>
    <xdr:pic>
      <xdr:nvPicPr>
        <xdr:cNvPr id="6" name="Picture 5">
          <a:extLst>
            <a:ext uri="{FF2B5EF4-FFF2-40B4-BE49-F238E27FC236}">
              <a16:creationId xmlns:a16="http://schemas.microsoft.com/office/drawing/2014/main" id="{FF8E9FF8-444B-8B9E-9D21-D837CB75E661}"/>
            </a:ext>
          </a:extLst>
        </xdr:cNvPr>
        <xdr:cNvPicPr>
          <a:picLocks noChangeAspect="1"/>
        </xdr:cNvPicPr>
      </xdr:nvPicPr>
      <xdr:blipFill>
        <a:blip xmlns:r="http://schemas.openxmlformats.org/officeDocument/2006/relationships" r:embed="rId4"/>
        <a:stretch>
          <a:fillRect/>
        </a:stretch>
      </xdr:blipFill>
      <xdr:spPr>
        <a:xfrm>
          <a:off x="6705600" y="552450"/>
          <a:ext cx="6895238" cy="809523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eturnloads.net/how-to-price-haulage-work/" TargetMode="External"/><Relationship Id="rId2" Type="http://schemas.openxmlformats.org/officeDocument/2006/relationships/hyperlink" Target="https://www.gov.uk/government/publications/rates-and-allowances-landfill-tax/landfill-tax-rates-from-1-april-2013" TargetMode="External"/><Relationship Id="rId1" Type="http://schemas.openxmlformats.org/officeDocument/2006/relationships/hyperlink" Target="https://www.europeanbusinessreview.com/demolition-cost-2022-price-guide-uk/"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costmodelling.com/building-cost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E0850-293C-4936-B0A6-FD512ACDAB3C}">
  <dimension ref="A1:S37"/>
  <sheetViews>
    <sheetView showGridLines="0" tabSelected="1" zoomScale="93" workbookViewId="0">
      <selection activeCell="O41" sqref="O41"/>
    </sheetView>
  </sheetViews>
  <sheetFormatPr defaultRowHeight="14.5" x14ac:dyDescent="0.35"/>
  <sheetData>
    <row r="1" spans="1:19" s="5" customFormat="1" ht="23.5" x14ac:dyDescent="0.55000000000000004">
      <c r="A1" s="93" t="s">
        <v>192</v>
      </c>
      <c r="B1" s="93"/>
      <c r="C1" s="93"/>
      <c r="D1" s="93"/>
      <c r="E1" s="93"/>
      <c r="F1" s="93"/>
      <c r="G1" s="93"/>
      <c r="H1" s="93"/>
      <c r="I1" s="93"/>
      <c r="J1" s="93"/>
      <c r="K1" s="93"/>
      <c r="L1" s="93"/>
      <c r="M1" s="93"/>
      <c r="N1" s="93"/>
      <c r="O1" s="93"/>
      <c r="P1" s="93"/>
      <c r="Q1" s="93"/>
      <c r="R1" s="93"/>
      <c r="S1" s="93"/>
    </row>
    <row r="2" spans="1:19" s="5" customFormat="1" ht="23.5" x14ac:dyDescent="0.55000000000000004">
      <c r="A2" s="6"/>
      <c r="B2" s="6"/>
      <c r="C2" s="6"/>
      <c r="D2" s="6"/>
      <c r="E2" s="6"/>
      <c r="F2" s="6"/>
      <c r="G2" s="6"/>
      <c r="H2" s="6"/>
      <c r="I2" s="6"/>
      <c r="J2" s="6"/>
      <c r="K2" s="6"/>
      <c r="L2" s="6"/>
      <c r="M2" s="6"/>
      <c r="N2" s="6"/>
      <c r="O2" s="6"/>
      <c r="P2" s="6"/>
      <c r="Q2" s="6"/>
      <c r="R2" s="6"/>
      <c r="S2" s="6"/>
    </row>
    <row r="3" spans="1:19" s="5" customFormat="1" ht="23.5" x14ac:dyDescent="0.55000000000000004">
      <c r="A3" s="94" t="s">
        <v>202</v>
      </c>
      <c r="B3" s="94"/>
      <c r="C3" s="94"/>
      <c r="D3" s="94"/>
      <c r="E3" s="94"/>
      <c r="F3" s="94"/>
      <c r="G3" s="94"/>
      <c r="H3" s="94"/>
      <c r="I3" s="94"/>
      <c r="J3" s="94"/>
      <c r="K3" s="94"/>
      <c r="L3" s="94"/>
      <c r="M3" s="94"/>
      <c r="N3" s="94"/>
      <c r="O3" s="94"/>
      <c r="P3" s="94"/>
      <c r="Q3" s="94"/>
      <c r="R3" s="94"/>
      <c r="S3" s="94"/>
    </row>
    <row r="4" spans="1:19" s="5" customFormat="1" ht="23.5" x14ac:dyDescent="0.55000000000000004">
      <c r="A4" s="94"/>
      <c r="B4" s="94"/>
      <c r="C4" s="94"/>
      <c r="D4" s="94"/>
      <c r="E4" s="94"/>
      <c r="F4" s="94"/>
      <c r="G4" s="94"/>
      <c r="H4" s="94"/>
      <c r="I4" s="94"/>
      <c r="J4" s="94"/>
      <c r="K4" s="94"/>
      <c r="L4" s="94"/>
      <c r="M4" s="94"/>
      <c r="N4" s="94"/>
      <c r="O4" s="94"/>
      <c r="P4" s="94"/>
      <c r="Q4" s="94"/>
      <c r="R4" s="94"/>
      <c r="S4" s="94"/>
    </row>
    <row r="5" spans="1:19" x14ac:dyDescent="0.35">
      <c r="A5" s="7"/>
      <c r="B5" s="7"/>
      <c r="C5" s="7"/>
      <c r="D5" s="7"/>
      <c r="E5" s="7"/>
      <c r="F5" s="7"/>
      <c r="G5" s="7"/>
      <c r="H5" s="7"/>
      <c r="I5" s="7"/>
      <c r="J5" s="7"/>
      <c r="K5" s="7"/>
      <c r="L5" s="7"/>
      <c r="M5" s="7"/>
      <c r="N5" s="7"/>
      <c r="O5" s="7"/>
      <c r="P5" s="7"/>
      <c r="Q5" s="7"/>
      <c r="R5" s="7"/>
      <c r="S5" s="7"/>
    </row>
    <row r="6" spans="1:19" s="9" customFormat="1" x14ac:dyDescent="0.35">
      <c r="A6" s="8"/>
      <c r="B6" s="8"/>
      <c r="C6" s="8"/>
      <c r="D6" s="8"/>
      <c r="E6" s="8"/>
      <c r="F6" s="8"/>
      <c r="G6" s="8"/>
      <c r="H6" s="8"/>
      <c r="I6" s="8"/>
      <c r="J6" s="8"/>
      <c r="K6" s="8"/>
      <c r="L6" s="8"/>
      <c r="M6" s="8"/>
      <c r="N6" s="8"/>
      <c r="O6" s="8"/>
      <c r="P6" s="8"/>
      <c r="Q6" s="8"/>
      <c r="R6" s="8"/>
      <c r="S6" s="8"/>
    </row>
    <row r="7" spans="1:19" x14ac:dyDescent="0.35">
      <c r="A7" s="96" t="s">
        <v>191</v>
      </c>
      <c r="B7" s="96"/>
      <c r="C7" s="96"/>
      <c r="D7" s="96"/>
      <c r="E7" s="96"/>
      <c r="F7" s="96"/>
      <c r="G7" s="96"/>
      <c r="H7" s="96"/>
      <c r="I7" s="96"/>
      <c r="J7" s="96"/>
      <c r="K7" s="96"/>
      <c r="L7" s="96"/>
      <c r="M7" s="96"/>
      <c r="N7" s="96"/>
      <c r="O7" s="96"/>
      <c r="P7" s="96"/>
      <c r="Q7" s="96"/>
      <c r="R7" s="96"/>
      <c r="S7" s="96"/>
    </row>
    <row r="8" spans="1:19" x14ac:dyDescent="0.35">
      <c r="A8" s="96"/>
      <c r="B8" s="96"/>
      <c r="C8" s="96"/>
      <c r="D8" s="96"/>
      <c r="E8" s="96"/>
      <c r="F8" s="96"/>
      <c r="G8" s="96"/>
      <c r="H8" s="96"/>
      <c r="I8" s="96"/>
      <c r="J8" s="96"/>
      <c r="K8" s="96"/>
      <c r="L8" s="96"/>
      <c r="M8" s="96"/>
      <c r="N8" s="96"/>
      <c r="O8" s="96"/>
      <c r="P8" s="96"/>
      <c r="Q8" s="96"/>
      <c r="R8" s="96"/>
      <c r="S8" s="96"/>
    </row>
    <row r="9" spans="1:19" x14ac:dyDescent="0.35">
      <c r="A9" s="96"/>
      <c r="B9" s="96"/>
      <c r="C9" s="96"/>
      <c r="D9" s="96"/>
      <c r="E9" s="96"/>
      <c r="F9" s="96"/>
      <c r="G9" s="96"/>
      <c r="H9" s="96"/>
      <c r="I9" s="96"/>
      <c r="J9" s="96"/>
      <c r="K9" s="96"/>
      <c r="L9" s="96"/>
      <c r="M9" s="96"/>
      <c r="N9" s="96"/>
      <c r="O9" s="96"/>
      <c r="P9" s="96"/>
      <c r="Q9" s="96"/>
      <c r="R9" s="96"/>
      <c r="S9" s="96"/>
    </row>
    <row r="10" spans="1:19" x14ac:dyDescent="0.35">
      <c r="A10" s="96"/>
      <c r="B10" s="96"/>
      <c r="C10" s="96"/>
      <c r="D10" s="96"/>
      <c r="E10" s="96"/>
      <c r="F10" s="96"/>
      <c r="G10" s="96"/>
      <c r="H10" s="96"/>
      <c r="I10" s="96"/>
      <c r="J10" s="96"/>
      <c r="K10" s="96"/>
      <c r="L10" s="96"/>
      <c r="M10" s="96"/>
      <c r="N10" s="96"/>
      <c r="O10" s="96"/>
      <c r="P10" s="96"/>
      <c r="Q10" s="96"/>
      <c r="R10" s="96"/>
      <c r="S10" s="96"/>
    </row>
    <row r="11" spans="1:19" x14ac:dyDescent="0.35">
      <c r="A11" s="96"/>
      <c r="B11" s="96"/>
      <c r="C11" s="96"/>
      <c r="D11" s="96"/>
      <c r="E11" s="96"/>
      <c r="F11" s="96"/>
      <c r="G11" s="96"/>
      <c r="H11" s="96"/>
      <c r="I11" s="96"/>
      <c r="J11" s="96"/>
      <c r="K11" s="96"/>
      <c r="L11" s="96"/>
      <c r="M11" s="96"/>
      <c r="N11" s="96"/>
      <c r="O11" s="96"/>
      <c r="P11" s="96"/>
      <c r="Q11" s="96"/>
      <c r="R11" s="96"/>
      <c r="S11" s="96"/>
    </row>
    <row r="12" spans="1:19" ht="14.5" customHeight="1" x14ac:dyDescent="0.35">
      <c r="A12" s="97" t="s">
        <v>241</v>
      </c>
      <c r="B12" s="97"/>
      <c r="C12" s="97"/>
      <c r="D12" s="97"/>
      <c r="E12" s="97"/>
      <c r="F12" s="97"/>
      <c r="G12" s="97"/>
      <c r="H12" s="97"/>
      <c r="I12" s="97"/>
      <c r="J12" s="97"/>
      <c r="K12" s="97"/>
      <c r="L12" s="97"/>
      <c r="M12" s="97"/>
      <c r="N12" s="97"/>
      <c r="O12" s="97"/>
      <c r="P12" s="97"/>
      <c r="Q12" s="97"/>
      <c r="R12" s="97"/>
      <c r="S12" s="97"/>
    </row>
    <row r="13" spans="1:19" x14ac:dyDescent="0.35">
      <c r="A13" s="97"/>
      <c r="B13" s="97"/>
      <c r="C13" s="97"/>
      <c r="D13" s="97"/>
      <c r="E13" s="97"/>
      <c r="F13" s="97"/>
      <c r="G13" s="97"/>
      <c r="H13" s="97"/>
      <c r="I13" s="97"/>
      <c r="J13" s="97"/>
      <c r="K13" s="97"/>
      <c r="L13" s="97"/>
      <c r="M13" s="97"/>
      <c r="N13" s="97"/>
      <c r="O13" s="97"/>
      <c r="P13" s="97"/>
      <c r="Q13" s="97"/>
      <c r="R13" s="97"/>
      <c r="S13" s="97"/>
    </row>
    <row r="14" spans="1:19" x14ac:dyDescent="0.35">
      <c r="A14" s="4"/>
      <c r="B14" s="4"/>
      <c r="C14" s="4"/>
      <c r="D14" s="4"/>
      <c r="E14" s="4"/>
      <c r="F14" s="4"/>
      <c r="G14" s="4"/>
      <c r="H14" s="4"/>
      <c r="I14" s="4"/>
      <c r="J14" s="4"/>
      <c r="K14" s="4"/>
      <c r="L14" s="4"/>
      <c r="M14" s="4"/>
      <c r="N14" s="4"/>
      <c r="O14" s="4"/>
      <c r="P14" s="4"/>
      <c r="Q14" s="4"/>
      <c r="R14" s="4"/>
      <c r="S14" s="4"/>
    </row>
    <row r="15" spans="1:19" ht="14.5" customHeight="1" x14ac:dyDescent="0.35">
      <c r="A15" s="97" t="s">
        <v>201</v>
      </c>
      <c r="B15" s="97"/>
      <c r="C15" s="97"/>
      <c r="D15" s="97"/>
      <c r="E15" s="97"/>
      <c r="F15" s="97"/>
      <c r="G15" s="97"/>
      <c r="H15" s="97"/>
      <c r="I15" s="97"/>
      <c r="J15" s="97"/>
      <c r="K15" s="97"/>
      <c r="L15" s="97"/>
      <c r="M15" s="97"/>
      <c r="N15" s="97"/>
      <c r="O15" s="97"/>
      <c r="P15" s="97"/>
      <c r="Q15" s="97"/>
      <c r="R15" s="97"/>
      <c r="S15" s="97"/>
    </row>
    <row r="16" spans="1:19" x14ac:dyDescent="0.35">
      <c r="A16" s="97"/>
      <c r="B16" s="97"/>
      <c r="C16" s="97"/>
      <c r="D16" s="97"/>
      <c r="E16" s="97"/>
      <c r="F16" s="97"/>
      <c r="G16" s="97"/>
      <c r="H16" s="97"/>
      <c r="I16" s="97"/>
      <c r="J16" s="97"/>
      <c r="K16" s="97"/>
      <c r="L16" s="97"/>
      <c r="M16" s="97"/>
      <c r="N16" s="97"/>
      <c r="O16" s="97"/>
      <c r="P16" s="97"/>
      <c r="Q16" s="97"/>
      <c r="R16" s="97"/>
      <c r="S16" s="97"/>
    </row>
    <row r="17" spans="1:19" x14ac:dyDescent="0.35">
      <c r="A17" s="97"/>
      <c r="B17" s="97"/>
      <c r="C17" s="97"/>
      <c r="D17" s="97"/>
      <c r="E17" s="97"/>
      <c r="F17" s="97"/>
      <c r="G17" s="97"/>
      <c r="H17" s="97"/>
      <c r="I17" s="97"/>
      <c r="J17" s="97"/>
      <c r="K17" s="97"/>
      <c r="L17" s="97"/>
      <c r="M17" s="97"/>
      <c r="N17" s="97"/>
      <c r="O17" s="97"/>
      <c r="P17" s="97"/>
      <c r="Q17" s="97"/>
      <c r="R17" s="97"/>
      <c r="S17" s="97"/>
    </row>
    <row r="18" spans="1:19" x14ac:dyDescent="0.35">
      <c r="A18" s="97"/>
      <c r="B18" s="97"/>
      <c r="C18" s="97"/>
      <c r="D18" s="97"/>
      <c r="E18" s="97"/>
      <c r="F18" s="97"/>
      <c r="G18" s="97"/>
      <c r="H18" s="97"/>
      <c r="I18" s="97"/>
      <c r="J18" s="97"/>
      <c r="K18" s="97"/>
      <c r="L18" s="97"/>
      <c r="M18" s="97"/>
      <c r="N18" s="97"/>
      <c r="O18" s="97"/>
      <c r="P18" s="97"/>
      <c r="Q18" s="97"/>
      <c r="R18" s="97"/>
      <c r="S18" s="97"/>
    </row>
    <row r="20" spans="1:19" ht="31.5" customHeight="1" x14ac:dyDescent="0.35">
      <c r="A20" s="95" t="s">
        <v>186</v>
      </c>
      <c r="B20" s="95"/>
      <c r="C20" s="95"/>
      <c r="D20" s="95"/>
      <c r="E20" s="95"/>
      <c r="F20" s="95"/>
      <c r="G20" s="95"/>
      <c r="H20" s="95"/>
      <c r="I20" s="95"/>
      <c r="J20" s="95"/>
      <c r="K20" s="95"/>
      <c r="L20" s="95"/>
      <c r="M20" s="95"/>
      <c r="N20" s="95"/>
      <c r="O20" s="95"/>
      <c r="P20" s="95"/>
      <c r="Q20" s="95"/>
      <c r="R20" s="95"/>
      <c r="S20" s="95"/>
    </row>
    <row r="21" spans="1:19" ht="14.5" customHeight="1" x14ac:dyDescent="0.35">
      <c r="A21" s="95"/>
      <c r="B21" s="95"/>
      <c r="C21" s="95"/>
      <c r="D21" s="95"/>
      <c r="E21" s="95"/>
      <c r="F21" s="95"/>
      <c r="G21" s="95"/>
      <c r="H21" s="95"/>
      <c r="I21" s="95"/>
      <c r="J21" s="95"/>
      <c r="K21" s="95"/>
      <c r="L21" s="95"/>
      <c r="M21" s="95"/>
      <c r="N21" s="95"/>
      <c r="O21" s="95"/>
      <c r="P21" s="95"/>
      <c r="Q21" s="95"/>
      <c r="R21" s="95"/>
      <c r="S21" s="95"/>
    </row>
    <row r="22" spans="1:19" x14ac:dyDescent="0.35">
      <c r="A22" s="1"/>
      <c r="B22" s="1"/>
      <c r="C22" s="1"/>
      <c r="D22" s="1"/>
      <c r="E22" s="1"/>
      <c r="F22" s="1"/>
      <c r="G22" s="1"/>
      <c r="H22" s="1"/>
      <c r="I22" s="1"/>
      <c r="J22" s="1"/>
      <c r="K22" s="1"/>
      <c r="L22" s="1"/>
      <c r="M22" s="1"/>
      <c r="N22" s="1"/>
      <c r="O22" s="1"/>
      <c r="P22" s="1"/>
      <c r="Q22" s="1"/>
      <c r="R22" s="1"/>
      <c r="S22" s="1"/>
    </row>
    <row r="23" spans="1:19" ht="14.5" customHeight="1" x14ac:dyDescent="0.35">
      <c r="A23" s="95" t="s">
        <v>187</v>
      </c>
      <c r="B23" s="95"/>
      <c r="C23" s="95"/>
      <c r="D23" s="95"/>
      <c r="E23" s="95"/>
      <c r="F23" s="95"/>
      <c r="G23" s="95"/>
      <c r="H23" s="95"/>
      <c r="I23" s="95"/>
      <c r="J23" s="95"/>
      <c r="K23" s="95"/>
      <c r="L23" s="95"/>
      <c r="M23" s="95"/>
      <c r="N23" s="95"/>
      <c r="O23" s="95"/>
      <c r="P23" s="95"/>
      <c r="Q23" s="95"/>
      <c r="R23" s="95"/>
      <c r="S23" s="95"/>
    </row>
    <row r="24" spans="1:19" x14ac:dyDescent="0.35">
      <c r="A24" s="95"/>
      <c r="B24" s="95"/>
      <c r="C24" s="95"/>
      <c r="D24" s="95"/>
      <c r="E24" s="95"/>
      <c r="F24" s="95"/>
      <c r="G24" s="95"/>
      <c r="H24" s="95"/>
      <c r="I24" s="95"/>
      <c r="J24" s="95"/>
      <c r="K24" s="95"/>
      <c r="L24" s="95"/>
      <c r="M24" s="95"/>
      <c r="N24" s="95"/>
      <c r="O24" s="95"/>
      <c r="P24" s="95"/>
      <c r="Q24" s="95"/>
      <c r="R24" s="95"/>
      <c r="S24" s="95"/>
    </row>
    <row r="25" spans="1:19" x14ac:dyDescent="0.35">
      <c r="A25" s="95"/>
      <c r="B25" s="95"/>
      <c r="C25" s="95"/>
      <c r="D25" s="95"/>
      <c r="E25" s="95"/>
      <c r="F25" s="95"/>
      <c r="G25" s="95"/>
      <c r="H25" s="95"/>
      <c r="I25" s="95"/>
      <c r="J25" s="95"/>
      <c r="K25" s="95"/>
      <c r="L25" s="95"/>
      <c r="M25" s="95"/>
      <c r="N25" s="95"/>
      <c r="O25" s="95"/>
      <c r="P25" s="95"/>
      <c r="Q25" s="95"/>
      <c r="R25" s="95"/>
      <c r="S25" s="95"/>
    </row>
    <row r="26" spans="1:19" x14ac:dyDescent="0.35">
      <c r="A26" s="95"/>
      <c r="B26" s="95"/>
      <c r="C26" s="95"/>
      <c r="D26" s="95"/>
      <c r="E26" s="95"/>
      <c r="F26" s="95"/>
      <c r="G26" s="95"/>
      <c r="H26" s="95"/>
      <c r="I26" s="95"/>
      <c r="J26" s="95"/>
      <c r="K26" s="95"/>
      <c r="L26" s="95"/>
      <c r="M26" s="95"/>
      <c r="N26" s="95"/>
      <c r="O26" s="95"/>
      <c r="P26" s="95"/>
      <c r="Q26" s="95"/>
      <c r="R26" s="95"/>
      <c r="S26" s="95"/>
    </row>
    <row r="28" spans="1:19" x14ac:dyDescent="0.35">
      <c r="A28" s="95" t="s">
        <v>188</v>
      </c>
      <c r="B28" s="95"/>
      <c r="C28" s="95"/>
      <c r="D28" s="95"/>
      <c r="E28" s="95"/>
      <c r="F28" s="95"/>
      <c r="G28" s="95"/>
      <c r="H28" s="95"/>
      <c r="I28" s="95"/>
      <c r="J28" s="95"/>
      <c r="K28" s="95"/>
      <c r="L28" s="95"/>
      <c r="M28" s="95"/>
      <c r="N28" s="95"/>
      <c r="O28" s="95"/>
      <c r="P28" s="95"/>
      <c r="Q28" s="95"/>
      <c r="R28" s="95"/>
      <c r="S28" s="95"/>
    </row>
    <row r="29" spans="1:19" x14ac:dyDescent="0.35">
      <c r="A29" s="95"/>
      <c r="B29" s="95"/>
      <c r="C29" s="95"/>
      <c r="D29" s="95"/>
      <c r="E29" s="95"/>
      <c r="F29" s="95"/>
      <c r="G29" s="95"/>
      <c r="H29" s="95"/>
      <c r="I29" s="95"/>
      <c r="J29" s="95"/>
      <c r="K29" s="95"/>
      <c r="L29" s="95"/>
      <c r="M29" s="95"/>
      <c r="N29" s="95"/>
      <c r="O29" s="95"/>
      <c r="P29" s="95"/>
      <c r="Q29" s="95"/>
      <c r="R29" s="95"/>
      <c r="S29" s="95"/>
    </row>
    <row r="31" spans="1:19" ht="14.5" customHeight="1" x14ac:dyDescent="0.35">
      <c r="A31" s="95" t="s">
        <v>189</v>
      </c>
      <c r="B31" s="95"/>
      <c r="C31" s="95"/>
      <c r="D31" s="95"/>
      <c r="E31" s="95"/>
      <c r="F31" s="95"/>
      <c r="G31" s="95"/>
      <c r="H31" s="95"/>
      <c r="I31" s="95"/>
      <c r="J31" s="95"/>
      <c r="K31" s="95"/>
      <c r="L31" s="95"/>
      <c r="M31" s="95"/>
      <c r="N31" s="95"/>
      <c r="O31" s="95"/>
      <c r="P31" s="95"/>
      <c r="Q31" s="95"/>
      <c r="R31" s="95"/>
      <c r="S31" s="95"/>
    </row>
    <row r="32" spans="1:19" x14ac:dyDescent="0.35">
      <c r="A32" s="95"/>
      <c r="B32" s="95"/>
      <c r="C32" s="95"/>
      <c r="D32" s="95"/>
      <c r="E32" s="95"/>
      <c r="F32" s="95"/>
      <c r="G32" s="95"/>
      <c r="H32" s="95"/>
      <c r="I32" s="95"/>
      <c r="J32" s="95"/>
      <c r="K32" s="95"/>
      <c r="L32" s="95"/>
      <c r="M32" s="95"/>
      <c r="N32" s="95"/>
      <c r="O32" s="95"/>
      <c r="P32" s="95"/>
      <c r="Q32" s="95"/>
      <c r="R32" s="95"/>
      <c r="S32" s="95"/>
    </row>
    <row r="34" spans="1:19" x14ac:dyDescent="0.35">
      <c r="A34" s="95" t="s">
        <v>190</v>
      </c>
      <c r="B34" s="95"/>
      <c r="C34" s="95"/>
      <c r="D34" s="95"/>
      <c r="E34" s="95"/>
      <c r="F34" s="95"/>
      <c r="G34" s="95"/>
      <c r="H34" s="95"/>
      <c r="I34" s="95"/>
      <c r="J34" s="95"/>
      <c r="K34" s="95"/>
      <c r="L34" s="95"/>
      <c r="M34" s="95"/>
      <c r="N34" s="95"/>
      <c r="O34" s="95"/>
      <c r="P34" s="95"/>
      <c r="Q34" s="95"/>
      <c r="R34" s="95"/>
      <c r="S34" s="95"/>
    </row>
    <row r="35" spans="1:19" x14ac:dyDescent="0.35">
      <c r="A35" s="95"/>
      <c r="B35" s="95"/>
      <c r="C35" s="95"/>
      <c r="D35" s="95"/>
      <c r="E35" s="95"/>
      <c r="F35" s="95"/>
      <c r="G35" s="95"/>
      <c r="H35" s="95"/>
      <c r="I35" s="95"/>
      <c r="J35" s="95"/>
      <c r="K35" s="95"/>
      <c r="L35" s="95"/>
      <c r="M35" s="95"/>
      <c r="N35" s="95"/>
      <c r="O35" s="95"/>
      <c r="P35" s="95"/>
      <c r="Q35" s="95"/>
      <c r="R35" s="95"/>
      <c r="S35" s="95"/>
    </row>
    <row r="37" spans="1:19" x14ac:dyDescent="0.35">
      <c r="A37" s="92" t="s">
        <v>278</v>
      </c>
      <c r="B37" s="92"/>
      <c r="C37" s="92"/>
      <c r="D37" s="92"/>
      <c r="E37" s="92"/>
      <c r="F37" s="92"/>
      <c r="G37" s="92"/>
      <c r="H37" s="92"/>
      <c r="I37" s="92"/>
      <c r="J37" s="92"/>
      <c r="K37" s="92"/>
      <c r="L37" s="92"/>
      <c r="M37" s="92"/>
      <c r="N37" s="92"/>
      <c r="O37" s="92"/>
      <c r="P37" s="92"/>
      <c r="Q37" s="92"/>
      <c r="R37" s="92"/>
    </row>
  </sheetData>
  <mergeCells count="11">
    <mergeCell ref="A37:R37"/>
    <mergeCell ref="A1:S1"/>
    <mergeCell ref="A3:S4"/>
    <mergeCell ref="A34:S35"/>
    <mergeCell ref="A23:S26"/>
    <mergeCell ref="A28:S29"/>
    <mergeCell ref="A31:S32"/>
    <mergeCell ref="A7:S11"/>
    <mergeCell ref="A12:S13"/>
    <mergeCell ref="A15:S18"/>
    <mergeCell ref="A20:S21"/>
  </mergeCells>
  <pageMargins left="0.7" right="0.7" top="0.75" bottom="0.75" header="0.3" footer="0.3"/>
  <pageSetup paperSize="9"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B6C83-999C-41E6-8B89-36D0C2C00D9E}">
  <dimension ref="A1:AB46"/>
  <sheetViews>
    <sheetView zoomScale="51" workbookViewId="0">
      <selection activeCell="V8" sqref="V8"/>
    </sheetView>
  </sheetViews>
  <sheetFormatPr defaultRowHeight="14.5" x14ac:dyDescent="0.35"/>
  <cols>
    <col min="1" max="1" width="16.36328125" style="18" customWidth="1"/>
    <col min="2" max="2" width="8.7265625" style="18"/>
    <col min="3" max="3" width="13.26953125" style="18" customWidth="1"/>
    <col min="4" max="4" width="12.54296875" style="18" customWidth="1"/>
    <col min="5" max="5" width="10.26953125" style="18" customWidth="1"/>
    <col min="6" max="6" width="10.6328125" style="18" customWidth="1"/>
    <col min="7" max="7" width="13.90625" style="18" customWidth="1"/>
    <col min="8" max="8" width="32.54296875" style="18" customWidth="1"/>
    <col min="9" max="10" width="10" style="18" customWidth="1"/>
    <col min="11" max="11" width="10.90625" style="18" customWidth="1"/>
    <col min="12" max="12" width="23.90625" style="18" customWidth="1"/>
    <col min="13" max="13" width="13.08984375" style="18" customWidth="1"/>
    <col min="14" max="14" width="8.7265625" style="18"/>
    <col min="15" max="15" width="7.26953125" style="18" customWidth="1"/>
    <col min="16" max="16" width="22.6328125" style="18" customWidth="1"/>
    <col min="17" max="20" width="8.7265625" style="18"/>
    <col min="21" max="21" width="11.36328125" style="18" customWidth="1"/>
    <col min="22" max="22" width="9.36328125" style="18" customWidth="1"/>
    <col min="23" max="23" width="17" style="18" customWidth="1"/>
    <col min="24" max="24" width="13.6328125" style="18" customWidth="1"/>
    <col min="25" max="26" width="8.7265625" style="18"/>
    <col min="27" max="27" width="10" style="18" customWidth="1"/>
    <col min="28" max="16384" width="8.7265625" style="18"/>
  </cols>
  <sheetData>
    <row r="1" spans="1:28" ht="23.5" x14ac:dyDescent="0.55000000000000004">
      <c r="A1" s="103" t="s">
        <v>19</v>
      </c>
      <c r="B1" s="103"/>
      <c r="C1" s="103"/>
      <c r="D1" s="103"/>
      <c r="E1" s="103"/>
      <c r="F1" s="103"/>
      <c r="G1" s="103"/>
      <c r="H1" s="103"/>
      <c r="I1" s="103"/>
      <c r="J1" s="103"/>
      <c r="K1" s="103"/>
      <c r="L1" s="103"/>
      <c r="M1" s="103"/>
      <c r="N1" s="103"/>
      <c r="O1" s="103"/>
      <c r="P1" s="103"/>
      <c r="Q1" s="103"/>
      <c r="R1" s="103"/>
      <c r="S1" s="103"/>
      <c r="T1" s="103"/>
      <c r="U1" s="103"/>
    </row>
    <row r="2" spans="1:28" ht="14.5" customHeight="1" x14ac:dyDescent="0.35">
      <c r="L2" s="25" t="s">
        <v>81</v>
      </c>
      <c r="M2" s="26">
        <f>SUM(E7,Q3,Q7)</f>
        <v>1271.9536875000001</v>
      </c>
      <c r="N2" s="25" t="s">
        <v>204</v>
      </c>
      <c r="P2" s="29" t="s">
        <v>40</v>
      </c>
      <c r="Q2" s="32">
        <f>M14+M21+M28+M35</f>
        <v>904.31999999999982</v>
      </c>
      <c r="R2" s="25" t="s">
        <v>205</v>
      </c>
      <c r="AB2" s="104"/>
    </row>
    <row r="3" spans="1:28" ht="14.5" customHeight="1" x14ac:dyDescent="0.35">
      <c r="A3" s="11"/>
      <c r="B3" s="11"/>
      <c r="C3" s="11"/>
      <c r="D3" s="11"/>
      <c r="E3" s="11"/>
      <c r="F3" s="11"/>
      <c r="G3" s="11"/>
      <c r="L3" s="25" t="s">
        <v>84</v>
      </c>
      <c r="M3" s="26">
        <f>(M2*Inventory!S5)/1000</f>
        <v>3251.1136252500005</v>
      </c>
      <c r="N3" s="25" t="s">
        <v>80</v>
      </c>
      <c r="P3" s="29" t="s">
        <v>13</v>
      </c>
      <c r="Q3" s="32">
        <f>I14+I21+I28+I35</f>
        <v>135.64799999999997</v>
      </c>
      <c r="R3" s="25" t="s">
        <v>204</v>
      </c>
      <c r="AB3" s="104"/>
    </row>
    <row r="4" spans="1:28" ht="14.5" customHeight="1" x14ac:dyDescent="0.35">
      <c r="A4" s="98" t="s">
        <v>18</v>
      </c>
      <c r="B4" s="98"/>
      <c r="C4" s="98"/>
      <c r="D4" s="98"/>
      <c r="E4" s="98"/>
      <c r="F4" s="98"/>
      <c r="G4" s="98"/>
      <c r="H4" s="98"/>
      <c r="L4" s="25" t="s">
        <v>85</v>
      </c>
      <c r="M4" s="26">
        <f>(M2*Inventory!S6)/1000</f>
        <v>3065.4083868750004</v>
      </c>
      <c r="N4" s="25" t="s">
        <v>80</v>
      </c>
      <c r="P4" s="29" t="s">
        <v>212</v>
      </c>
      <c r="Q4" s="32">
        <f>L14+L21+L28+L35</f>
        <v>64.257187500000001</v>
      </c>
      <c r="R4" s="25" t="s">
        <v>80</v>
      </c>
      <c r="AB4" s="104"/>
    </row>
    <row r="5" spans="1:28" x14ac:dyDescent="0.35">
      <c r="A5" s="100" t="s">
        <v>27</v>
      </c>
      <c r="B5" s="100" t="s">
        <v>1</v>
      </c>
      <c r="C5" s="100" t="s">
        <v>14</v>
      </c>
      <c r="D5" s="102" t="s">
        <v>17</v>
      </c>
      <c r="E5" s="102" t="s">
        <v>193</v>
      </c>
      <c r="F5" s="100" t="s">
        <v>203</v>
      </c>
      <c r="G5" s="101" t="s">
        <v>15</v>
      </c>
      <c r="H5" s="102" t="s">
        <v>194</v>
      </c>
      <c r="L5" s="27" t="s">
        <v>79</v>
      </c>
      <c r="M5" s="26">
        <f>SUM(G7,Q4,Q5)</f>
        <v>128.03499200000002</v>
      </c>
      <c r="N5" s="25" t="s">
        <v>80</v>
      </c>
      <c r="P5" s="29" t="s">
        <v>215</v>
      </c>
      <c r="Q5" s="32">
        <f>X19+X29+X39</f>
        <v>19.099999999999998</v>
      </c>
      <c r="R5" s="25" t="s">
        <v>80</v>
      </c>
      <c r="AB5" s="104"/>
    </row>
    <row r="6" spans="1:28" ht="16.5" x14ac:dyDescent="0.35">
      <c r="A6" s="100"/>
      <c r="B6" s="100"/>
      <c r="C6" s="100"/>
      <c r="D6" s="102"/>
      <c r="E6" s="102"/>
      <c r="F6" s="100"/>
      <c r="G6" s="101"/>
      <c r="H6" s="102"/>
      <c r="L6" s="25" t="s">
        <v>209</v>
      </c>
      <c r="M6" s="26">
        <f>SUM(H7,Q6)</f>
        <v>980.43</v>
      </c>
      <c r="N6" s="25" t="s">
        <v>205</v>
      </c>
      <c r="P6" s="29" t="s">
        <v>211</v>
      </c>
      <c r="Q6" s="32">
        <f>W19+W29+W39</f>
        <v>863.25</v>
      </c>
      <c r="R6" s="25" t="s">
        <v>205</v>
      </c>
    </row>
    <row r="7" spans="1:28" ht="16.5" x14ac:dyDescent="0.35">
      <c r="A7" s="20">
        <v>5</v>
      </c>
      <c r="B7" s="20">
        <v>0.155</v>
      </c>
      <c r="C7" s="20">
        <v>45.3</v>
      </c>
      <c r="D7" s="20">
        <v>30.3</v>
      </c>
      <c r="E7" s="21">
        <f>A7*B7*C7*D7</f>
        <v>1063.7572500000001</v>
      </c>
      <c r="F7" s="20">
        <v>42</v>
      </c>
      <c r="G7" s="21">
        <f>E7*F7/1000</f>
        <v>44.677804500000008</v>
      </c>
      <c r="H7" s="21">
        <f>(C7+D7)*2*B7*A7</f>
        <v>117.17999999999998</v>
      </c>
      <c r="L7" s="25" t="s">
        <v>210</v>
      </c>
      <c r="M7" s="26">
        <f>Q2</f>
        <v>904.31999999999982</v>
      </c>
      <c r="N7" s="25" t="s">
        <v>205</v>
      </c>
      <c r="P7" s="29" t="s">
        <v>39</v>
      </c>
      <c r="Q7" s="32">
        <f>V19+V29+V39</f>
        <v>72.548437500000006</v>
      </c>
      <c r="R7" s="25" t="s">
        <v>204</v>
      </c>
    </row>
    <row r="8" spans="1:28" ht="16.5" x14ac:dyDescent="0.35">
      <c r="L8" s="25" t="s">
        <v>183</v>
      </c>
      <c r="M8" s="25">
        <f>((45-0.3)*(30-0.3))</f>
        <v>1327.5900000000001</v>
      </c>
      <c r="N8" s="25" t="s">
        <v>205</v>
      </c>
    </row>
    <row r="10" spans="1:28" x14ac:dyDescent="0.35">
      <c r="J10" s="19"/>
    </row>
    <row r="11" spans="1:28" x14ac:dyDescent="0.35">
      <c r="A11" s="98" t="s">
        <v>3</v>
      </c>
      <c r="B11" s="98"/>
      <c r="C11" s="98"/>
      <c r="D11" s="98"/>
      <c r="E11" s="98"/>
      <c r="F11" s="98"/>
      <c r="G11" s="98"/>
      <c r="M11" s="22"/>
      <c r="P11" s="98" t="s">
        <v>20</v>
      </c>
      <c r="Q11" s="98"/>
      <c r="R11" s="98"/>
      <c r="S11" s="98"/>
      <c r="T11" s="98"/>
      <c r="U11" s="98"/>
      <c r="V11" s="98"/>
      <c r="W11" s="98"/>
      <c r="X11" s="98"/>
    </row>
    <row r="12" spans="1:28" x14ac:dyDescent="0.35">
      <c r="A12" s="100" t="s">
        <v>6</v>
      </c>
      <c r="B12" s="100" t="s">
        <v>4</v>
      </c>
      <c r="C12" s="100" t="s">
        <v>5</v>
      </c>
      <c r="D12" s="100" t="s">
        <v>9</v>
      </c>
      <c r="E12" s="100" t="s">
        <v>1</v>
      </c>
      <c r="F12" s="100" t="s">
        <v>2</v>
      </c>
      <c r="G12" s="100" t="s">
        <v>7</v>
      </c>
      <c r="H12" s="100" t="s">
        <v>8</v>
      </c>
      <c r="I12" s="100" t="s">
        <v>206</v>
      </c>
      <c r="J12" s="100" t="s">
        <v>207</v>
      </c>
      <c r="K12" s="100" t="s">
        <v>208</v>
      </c>
      <c r="L12" s="101" t="s">
        <v>15</v>
      </c>
      <c r="M12" s="102" t="s">
        <v>194</v>
      </c>
      <c r="P12" s="100" t="s">
        <v>21</v>
      </c>
      <c r="Q12" s="100" t="s">
        <v>22</v>
      </c>
      <c r="R12" s="100" t="s">
        <v>1</v>
      </c>
      <c r="S12" s="100" t="s">
        <v>2</v>
      </c>
      <c r="T12" s="100" t="s">
        <v>23</v>
      </c>
      <c r="U12" s="100" t="s">
        <v>24</v>
      </c>
      <c r="V12" s="100" t="s">
        <v>196</v>
      </c>
      <c r="W12" s="100" t="s">
        <v>194</v>
      </c>
      <c r="X12" s="101" t="s">
        <v>15</v>
      </c>
    </row>
    <row r="13" spans="1:28" x14ac:dyDescent="0.35">
      <c r="A13" s="100"/>
      <c r="B13" s="100"/>
      <c r="C13" s="100"/>
      <c r="D13" s="100"/>
      <c r="E13" s="100"/>
      <c r="F13" s="100"/>
      <c r="G13" s="100"/>
      <c r="H13" s="100"/>
      <c r="I13" s="100"/>
      <c r="J13" s="100"/>
      <c r="K13" s="100"/>
      <c r="L13" s="101"/>
      <c r="M13" s="102"/>
      <c r="P13" s="100"/>
      <c r="Q13" s="100"/>
      <c r="R13" s="100"/>
      <c r="S13" s="100"/>
      <c r="T13" s="100"/>
      <c r="U13" s="100"/>
      <c r="V13" s="100"/>
      <c r="W13" s="100"/>
      <c r="X13" s="101"/>
    </row>
    <row r="14" spans="1:28" x14ac:dyDescent="0.35">
      <c r="A14" s="20">
        <v>90</v>
      </c>
      <c r="B14" s="20">
        <v>30</v>
      </c>
      <c r="C14" s="20">
        <v>60</v>
      </c>
      <c r="D14" s="20">
        <v>7.5</v>
      </c>
      <c r="E14" s="20">
        <v>0.375</v>
      </c>
      <c r="F14" s="20">
        <v>0.3</v>
      </c>
      <c r="G14" s="20">
        <f>D14-(2*F14/2)</f>
        <v>7.2</v>
      </c>
      <c r="H14" s="20">
        <f>D14-(2*F14/2)</f>
        <v>7.2</v>
      </c>
      <c r="I14" s="23">
        <f>(G14*(E14-$B$7)*F14*B14)+(H14*(E14-$B$7)*F14*C14)</f>
        <v>42.768000000000001</v>
      </c>
      <c r="J14" s="23">
        <f>A14*D14*E14*F14</f>
        <v>75.9375</v>
      </c>
      <c r="K14" s="20">
        <v>279</v>
      </c>
      <c r="L14" s="23">
        <f>(J14*K14)/1000</f>
        <v>21.186562500000001</v>
      </c>
      <c r="M14" s="21">
        <f>(G14*2*(E14-$B$7)*B14)+(H14*2*(E14-$B$7)*C14)</f>
        <v>285.12</v>
      </c>
      <c r="P14" s="20">
        <v>1</v>
      </c>
      <c r="Q14" s="20">
        <v>15</v>
      </c>
      <c r="R14" s="20">
        <v>0.375</v>
      </c>
      <c r="S14" s="20">
        <v>0.375</v>
      </c>
      <c r="T14" s="20">
        <v>3.7</v>
      </c>
      <c r="U14" s="20">
        <f>T14+$E$14</f>
        <v>4.0750000000000002</v>
      </c>
      <c r="V14" s="23">
        <f>T14*S14*R14*Q14</f>
        <v>7.8046875000000009</v>
      </c>
      <c r="W14" s="23">
        <f>((T14*S14*2)+(T14*R14*2))*Q14</f>
        <v>83.250000000000014</v>
      </c>
      <c r="X14" s="20">
        <v>4.3</v>
      </c>
    </row>
    <row r="15" spans="1:28" x14ac:dyDescent="0.35">
      <c r="P15" s="20">
        <v>2</v>
      </c>
      <c r="Q15" s="20">
        <v>15</v>
      </c>
      <c r="R15" s="20">
        <v>0.375</v>
      </c>
      <c r="S15" s="20">
        <v>0.375</v>
      </c>
      <c r="T15" s="20">
        <v>3.7</v>
      </c>
      <c r="U15" s="20">
        <f>T15+$E$14</f>
        <v>4.0750000000000002</v>
      </c>
      <c r="V15" s="23">
        <f>T15*S15*R15*Q15</f>
        <v>7.8046875000000009</v>
      </c>
      <c r="W15" s="23">
        <f>((T15*S15*2)+(T15*R15*2))*Q15</f>
        <v>83.250000000000014</v>
      </c>
      <c r="X15" s="20">
        <v>2</v>
      </c>
    </row>
    <row r="16" spans="1:28" x14ac:dyDescent="0.35">
      <c r="P16" s="20">
        <v>3</v>
      </c>
      <c r="Q16" s="20">
        <v>15</v>
      </c>
      <c r="R16" s="20">
        <v>0.375</v>
      </c>
      <c r="S16" s="20">
        <v>0.375</v>
      </c>
      <c r="T16" s="20">
        <v>3.7</v>
      </c>
      <c r="U16" s="20">
        <f>T16+$E$14</f>
        <v>4.0750000000000002</v>
      </c>
      <c r="V16" s="23">
        <f>T16*S16*R16*Q16</f>
        <v>7.8046875000000009</v>
      </c>
      <c r="W16" s="23">
        <f>((T16*S16*2)+(T16*R16*2))*Q16</f>
        <v>83.250000000000014</v>
      </c>
      <c r="X16" s="20">
        <v>0.5</v>
      </c>
    </row>
    <row r="17" spans="1:24" x14ac:dyDescent="0.35">
      <c r="P17" s="20">
        <v>4</v>
      </c>
      <c r="Q17" s="20">
        <v>15</v>
      </c>
      <c r="R17" s="20">
        <v>0.375</v>
      </c>
      <c r="S17" s="20">
        <v>0.375</v>
      </c>
      <c r="T17" s="20">
        <v>3.7</v>
      </c>
      <c r="U17" s="20">
        <f>T17+$E$14</f>
        <v>4.0750000000000002</v>
      </c>
      <c r="V17" s="23">
        <f>T17*S17*R17*Q17</f>
        <v>7.8046875000000009</v>
      </c>
      <c r="W17" s="23">
        <f>((T17*S17*2)+(T17*R17*2))*Q17</f>
        <v>83.250000000000014</v>
      </c>
      <c r="X17" s="20">
        <v>0.5</v>
      </c>
    </row>
    <row r="18" spans="1:24" x14ac:dyDescent="0.35">
      <c r="A18" s="98" t="s">
        <v>10</v>
      </c>
      <c r="B18" s="98"/>
      <c r="C18" s="98"/>
      <c r="D18" s="98"/>
      <c r="E18" s="98"/>
      <c r="F18" s="98"/>
      <c r="G18" s="98"/>
      <c r="P18" s="20">
        <v>5</v>
      </c>
      <c r="Q18" s="20">
        <v>15</v>
      </c>
      <c r="R18" s="20">
        <v>0.375</v>
      </c>
      <c r="S18" s="20">
        <v>0.375</v>
      </c>
      <c r="T18" s="20">
        <v>3.7</v>
      </c>
      <c r="U18" s="20">
        <f>T18+$E$14</f>
        <v>4.0750000000000002</v>
      </c>
      <c r="V18" s="23">
        <f>T18*S18*R18*Q18</f>
        <v>7.8046875000000009</v>
      </c>
      <c r="W18" s="23">
        <f>((T18*S18*2)+(T18*R18*2))*Q18</f>
        <v>83.250000000000014</v>
      </c>
      <c r="X18" s="20">
        <v>0.5</v>
      </c>
    </row>
    <row r="19" spans="1:24" ht="14.5" customHeight="1" x14ac:dyDescent="0.35">
      <c r="A19" s="100" t="s">
        <v>6</v>
      </c>
      <c r="B19" s="100" t="s">
        <v>4</v>
      </c>
      <c r="C19" s="100" t="s">
        <v>5</v>
      </c>
      <c r="D19" s="100" t="s">
        <v>9</v>
      </c>
      <c r="E19" s="100" t="s">
        <v>1</v>
      </c>
      <c r="F19" s="100" t="s">
        <v>2</v>
      </c>
      <c r="G19" s="100" t="s">
        <v>7</v>
      </c>
      <c r="H19" s="100" t="s">
        <v>8</v>
      </c>
      <c r="I19" s="100" t="s">
        <v>206</v>
      </c>
      <c r="J19" s="100" t="s">
        <v>207</v>
      </c>
      <c r="K19" s="100" t="s">
        <v>208</v>
      </c>
      <c r="L19" s="101" t="s">
        <v>15</v>
      </c>
      <c r="M19" s="102" t="s">
        <v>194</v>
      </c>
      <c r="U19" s="11" t="s">
        <v>195</v>
      </c>
      <c r="V19" s="22">
        <f>SUM(V14:V18)</f>
        <v>39.023437500000007</v>
      </c>
      <c r="W19" s="22">
        <f>SUM(W14:W18)</f>
        <v>416.25000000000006</v>
      </c>
      <c r="X19" s="22">
        <f>SUM(X14:X18)</f>
        <v>7.8</v>
      </c>
    </row>
    <row r="20" spans="1:24" x14ac:dyDescent="0.35">
      <c r="A20" s="100"/>
      <c r="B20" s="100"/>
      <c r="C20" s="100"/>
      <c r="D20" s="100"/>
      <c r="E20" s="100"/>
      <c r="F20" s="100"/>
      <c r="G20" s="100"/>
      <c r="H20" s="100"/>
      <c r="I20" s="100"/>
      <c r="J20" s="100"/>
      <c r="K20" s="100"/>
      <c r="L20" s="101"/>
      <c r="M20" s="102"/>
    </row>
    <row r="21" spans="1:24" x14ac:dyDescent="0.35">
      <c r="A21" s="20">
        <v>100</v>
      </c>
      <c r="B21" s="20">
        <v>50</v>
      </c>
      <c r="C21" s="20">
        <v>50</v>
      </c>
      <c r="D21" s="20">
        <v>7.5</v>
      </c>
      <c r="E21" s="20">
        <v>0.375</v>
      </c>
      <c r="F21" s="20">
        <v>0.3</v>
      </c>
      <c r="G21" s="20">
        <f>D21-(F21/2)</f>
        <v>7.35</v>
      </c>
      <c r="H21" s="20">
        <f>D21</f>
        <v>7.5</v>
      </c>
      <c r="I21" s="23">
        <f>(G21*(E21-$B$7)*F21*B21)+(H21*(E21-$B$7)*F21*C21)</f>
        <v>49.004999999999995</v>
      </c>
      <c r="J21" s="23">
        <f>A21*D21*E21*F21</f>
        <v>84.375</v>
      </c>
      <c r="K21" s="20">
        <v>279</v>
      </c>
      <c r="L21" s="23">
        <f>(J21*K21)/1000</f>
        <v>23.540624999999999</v>
      </c>
      <c r="M21" s="21">
        <f>(G21*2*(E21-$B$7)*B21)+(H21*2*(E21-$B$7)*C21)</f>
        <v>326.7</v>
      </c>
      <c r="P21" s="98" t="s">
        <v>25</v>
      </c>
      <c r="Q21" s="98"/>
      <c r="R21" s="98"/>
      <c r="S21" s="98"/>
      <c r="T21" s="98"/>
      <c r="U21" s="98"/>
      <c r="V21" s="98"/>
      <c r="W21" s="98"/>
      <c r="X21" s="98"/>
    </row>
    <row r="22" spans="1:24" x14ac:dyDescent="0.35">
      <c r="P22" s="100" t="s">
        <v>21</v>
      </c>
      <c r="Q22" s="100" t="s">
        <v>22</v>
      </c>
      <c r="R22" s="100" t="s">
        <v>1</v>
      </c>
      <c r="S22" s="100" t="s">
        <v>2</v>
      </c>
      <c r="T22" s="100" t="s">
        <v>23</v>
      </c>
      <c r="U22" s="100" t="s">
        <v>24</v>
      </c>
      <c r="V22" s="100" t="s">
        <v>196</v>
      </c>
      <c r="W22" s="100" t="s">
        <v>194</v>
      </c>
      <c r="X22" s="101" t="s">
        <v>15</v>
      </c>
    </row>
    <row r="23" spans="1:24" x14ac:dyDescent="0.35">
      <c r="P23" s="100"/>
      <c r="Q23" s="100"/>
      <c r="R23" s="100"/>
      <c r="S23" s="100"/>
      <c r="T23" s="100"/>
      <c r="U23" s="100"/>
      <c r="V23" s="100"/>
      <c r="W23" s="100"/>
      <c r="X23" s="101"/>
    </row>
    <row r="24" spans="1:24" x14ac:dyDescent="0.35">
      <c r="P24" s="20">
        <v>1</v>
      </c>
      <c r="Q24" s="20">
        <v>16</v>
      </c>
      <c r="R24" s="20">
        <v>0.3</v>
      </c>
      <c r="S24" s="20">
        <v>0.3</v>
      </c>
      <c r="T24" s="20">
        <v>3.7250000000000001</v>
      </c>
      <c r="U24" s="20">
        <f>T24+$E$28</f>
        <v>4.0750000000000002</v>
      </c>
      <c r="V24" s="23">
        <f>T24*S24*R24*Q24</f>
        <v>5.3639999999999999</v>
      </c>
      <c r="W24" s="23">
        <f>((T24*S24*2)+(T24*R24*2))*Q24</f>
        <v>71.52</v>
      </c>
      <c r="X24" s="20">
        <v>4.5999999999999996</v>
      </c>
    </row>
    <row r="25" spans="1:24" x14ac:dyDescent="0.35">
      <c r="A25" s="98" t="s">
        <v>11</v>
      </c>
      <c r="B25" s="98"/>
      <c r="C25" s="98"/>
      <c r="D25" s="98"/>
      <c r="E25" s="98"/>
      <c r="F25" s="98"/>
      <c r="G25" s="98"/>
      <c r="P25" s="20">
        <v>2</v>
      </c>
      <c r="Q25" s="20">
        <v>16</v>
      </c>
      <c r="R25" s="20">
        <v>0.3</v>
      </c>
      <c r="S25" s="20">
        <v>0.3</v>
      </c>
      <c r="T25" s="20">
        <v>3.7250000000000001</v>
      </c>
      <c r="U25" s="20">
        <f t="shared" ref="U25:U28" si="0">T25+$E$28</f>
        <v>4.0750000000000002</v>
      </c>
      <c r="V25" s="23">
        <f t="shared" ref="V25:V28" si="1">T25*S25*R25*Q25</f>
        <v>5.3639999999999999</v>
      </c>
      <c r="W25" s="23">
        <f t="shared" ref="W25:W28" si="2">((T25*S25*2)+(T25*R25*2))*Q25</f>
        <v>71.52</v>
      </c>
      <c r="X25" s="20">
        <v>2.6</v>
      </c>
    </row>
    <row r="26" spans="1:24" ht="14.5" customHeight="1" x14ac:dyDescent="0.35">
      <c r="A26" s="100" t="s">
        <v>6</v>
      </c>
      <c r="B26" s="100" t="s">
        <v>4</v>
      </c>
      <c r="C26" s="100" t="s">
        <v>5</v>
      </c>
      <c r="D26" s="100" t="s">
        <v>9</v>
      </c>
      <c r="E26" s="100" t="s">
        <v>1</v>
      </c>
      <c r="F26" s="100" t="s">
        <v>2</v>
      </c>
      <c r="G26" s="100" t="s">
        <v>7</v>
      </c>
      <c r="H26" s="100" t="s">
        <v>8</v>
      </c>
      <c r="I26" s="100" t="s">
        <v>206</v>
      </c>
      <c r="J26" s="100" t="s">
        <v>207</v>
      </c>
      <c r="K26" s="100" t="s">
        <v>208</v>
      </c>
      <c r="L26" s="101" t="s">
        <v>15</v>
      </c>
      <c r="M26" s="102" t="s">
        <v>194</v>
      </c>
      <c r="P26" s="20">
        <v>3</v>
      </c>
      <c r="Q26" s="20">
        <v>16</v>
      </c>
      <c r="R26" s="20">
        <v>0.3</v>
      </c>
      <c r="S26" s="20">
        <v>0.3</v>
      </c>
      <c r="T26" s="20">
        <v>3.7250000000000001</v>
      </c>
      <c r="U26" s="20">
        <f t="shared" si="0"/>
        <v>4.0750000000000002</v>
      </c>
      <c r="V26" s="23">
        <f t="shared" si="1"/>
        <v>5.3639999999999999</v>
      </c>
      <c r="W26" s="23">
        <f t="shared" si="2"/>
        <v>71.52</v>
      </c>
      <c r="X26" s="20">
        <v>1.7</v>
      </c>
    </row>
    <row r="27" spans="1:24" x14ac:dyDescent="0.35">
      <c r="A27" s="100"/>
      <c r="B27" s="100"/>
      <c r="C27" s="100"/>
      <c r="D27" s="100"/>
      <c r="E27" s="100"/>
      <c r="F27" s="100"/>
      <c r="G27" s="100"/>
      <c r="H27" s="100"/>
      <c r="I27" s="100"/>
      <c r="J27" s="100"/>
      <c r="K27" s="100"/>
      <c r="L27" s="101"/>
      <c r="M27" s="102"/>
      <c r="P27" s="20">
        <v>4</v>
      </c>
      <c r="Q27" s="20">
        <v>16</v>
      </c>
      <c r="R27" s="20">
        <v>0.3</v>
      </c>
      <c r="S27" s="20">
        <v>0.3</v>
      </c>
      <c r="T27" s="20">
        <v>3.7250000000000001</v>
      </c>
      <c r="U27" s="20">
        <f t="shared" si="0"/>
        <v>4.0750000000000002</v>
      </c>
      <c r="V27" s="23">
        <f t="shared" si="1"/>
        <v>5.3639999999999999</v>
      </c>
      <c r="W27" s="23">
        <f t="shared" si="2"/>
        <v>71.52</v>
      </c>
      <c r="X27" s="20">
        <v>0.6</v>
      </c>
    </row>
    <row r="28" spans="1:24" x14ac:dyDescent="0.35">
      <c r="A28" s="20">
        <v>60</v>
      </c>
      <c r="B28" s="20">
        <v>20</v>
      </c>
      <c r="C28" s="20">
        <v>40</v>
      </c>
      <c r="D28" s="20">
        <v>7.5</v>
      </c>
      <c r="E28" s="20">
        <v>0.35</v>
      </c>
      <c r="F28" s="20">
        <v>0.3</v>
      </c>
      <c r="G28" s="20">
        <f>D28-(F28/2)</f>
        <v>7.35</v>
      </c>
      <c r="H28" s="20">
        <f>D28</f>
        <v>7.5</v>
      </c>
      <c r="I28" s="23">
        <f>(G28*(E28-$B$7)*F28*B28)+(H28*(E28-$B$7)*F28*C28)</f>
        <v>26.149499999999996</v>
      </c>
      <c r="J28" s="23">
        <f>A28*D28*E28*F28</f>
        <v>47.25</v>
      </c>
      <c r="K28" s="20">
        <v>248</v>
      </c>
      <c r="L28" s="23">
        <f>(J28*K28)/1000</f>
        <v>11.718</v>
      </c>
      <c r="M28" s="21">
        <f>(G28*2*(E28-$B$7)*B28)+(H28*2*(E28-$B$7)*C28)</f>
        <v>174.32999999999998</v>
      </c>
      <c r="P28" s="20">
        <v>5</v>
      </c>
      <c r="Q28" s="20">
        <v>16</v>
      </c>
      <c r="R28" s="20">
        <v>0.3</v>
      </c>
      <c r="S28" s="20">
        <v>0.3</v>
      </c>
      <c r="T28" s="20">
        <v>3.7250000000000001</v>
      </c>
      <c r="U28" s="20">
        <f t="shared" si="0"/>
        <v>4.0750000000000002</v>
      </c>
      <c r="V28" s="23">
        <f t="shared" si="1"/>
        <v>5.3639999999999999</v>
      </c>
      <c r="W28" s="23">
        <f t="shared" si="2"/>
        <v>71.52</v>
      </c>
      <c r="X28" s="20">
        <v>0.6</v>
      </c>
    </row>
    <row r="29" spans="1:24" x14ac:dyDescent="0.35">
      <c r="U29" s="11" t="s">
        <v>195</v>
      </c>
      <c r="V29" s="22">
        <f>SUM(V24:V28)</f>
        <v>26.82</v>
      </c>
      <c r="W29" s="22">
        <f>SUM(W24:W28)</f>
        <v>357.59999999999997</v>
      </c>
      <c r="X29" s="22">
        <f>SUM(X24:X28)</f>
        <v>10.099999999999998</v>
      </c>
    </row>
    <row r="31" spans="1:24" x14ac:dyDescent="0.35">
      <c r="P31" s="98" t="s">
        <v>26</v>
      </c>
      <c r="Q31" s="98"/>
      <c r="R31" s="98"/>
      <c r="S31" s="98"/>
      <c r="T31" s="98"/>
      <c r="U31" s="98"/>
      <c r="V31" s="98"/>
      <c r="W31" s="98"/>
      <c r="X31" s="98"/>
    </row>
    <row r="32" spans="1:24" x14ac:dyDescent="0.35">
      <c r="A32" s="98" t="s">
        <v>12</v>
      </c>
      <c r="B32" s="98"/>
      <c r="C32" s="98"/>
      <c r="D32" s="98"/>
      <c r="E32" s="98"/>
      <c r="F32" s="98"/>
      <c r="G32" s="98"/>
      <c r="P32" s="100" t="s">
        <v>21</v>
      </c>
      <c r="Q32" s="100" t="s">
        <v>22</v>
      </c>
      <c r="R32" s="100" t="s">
        <v>1</v>
      </c>
      <c r="S32" s="100" t="s">
        <v>2</v>
      </c>
      <c r="T32" s="100" t="s">
        <v>23</v>
      </c>
      <c r="U32" s="100" t="s">
        <v>24</v>
      </c>
      <c r="V32" s="100" t="s">
        <v>196</v>
      </c>
      <c r="W32" s="100" t="s">
        <v>194</v>
      </c>
      <c r="X32" s="101" t="s">
        <v>15</v>
      </c>
    </row>
    <row r="33" spans="1:24" ht="14.5" customHeight="1" x14ac:dyDescent="0.35">
      <c r="A33" s="100" t="s">
        <v>6</v>
      </c>
      <c r="B33" s="100" t="s">
        <v>4</v>
      </c>
      <c r="C33" s="100" t="s">
        <v>5</v>
      </c>
      <c r="D33" s="100" t="s">
        <v>9</v>
      </c>
      <c r="E33" s="100" t="s">
        <v>1</v>
      </c>
      <c r="F33" s="100" t="s">
        <v>2</v>
      </c>
      <c r="G33" s="100" t="s">
        <v>7</v>
      </c>
      <c r="H33" s="100" t="s">
        <v>8</v>
      </c>
      <c r="I33" s="100" t="s">
        <v>206</v>
      </c>
      <c r="J33" s="100" t="s">
        <v>207</v>
      </c>
      <c r="K33" s="100" t="s">
        <v>208</v>
      </c>
      <c r="L33" s="101" t="s">
        <v>15</v>
      </c>
      <c r="M33" s="102" t="s">
        <v>194</v>
      </c>
      <c r="P33" s="100"/>
      <c r="Q33" s="100"/>
      <c r="R33" s="100"/>
      <c r="S33" s="100"/>
      <c r="T33" s="100"/>
      <c r="U33" s="100"/>
      <c r="V33" s="100"/>
      <c r="W33" s="100"/>
      <c r="X33" s="101"/>
    </row>
    <row r="34" spans="1:24" x14ac:dyDescent="0.35">
      <c r="A34" s="100"/>
      <c r="B34" s="100"/>
      <c r="C34" s="100"/>
      <c r="D34" s="100"/>
      <c r="E34" s="100"/>
      <c r="F34" s="100"/>
      <c r="G34" s="100"/>
      <c r="H34" s="100"/>
      <c r="I34" s="100"/>
      <c r="J34" s="100"/>
      <c r="K34" s="100"/>
      <c r="L34" s="101"/>
      <c r="M34" s="102"/>
      <c r="P34" s="20">
        <v>1</v>
      </c>
      <c r="Q34" s="20">
        <v>4</v>
      </c>
      <c r="R34" s="20">
        <v>0.3</v>
      </c>
      <c r="S34" s="20">
        <v>0.3</v>
      </c>
      <c r="T34" s="20">
        <v>3.7250000000000001</v>
      </c>
      <c r="U34" s="20">
        <f>T34+$E$28</f>
        <v>4.0750000000000002</v>
      </c>
      <c r="V34" s="23">
        <f>T34*S34*R34*Q34</f>
        <v>1.341</v>
      </c>
      <c r="W34" s="23">
        <f>((T34*S34*2)+(T34*R34*2))*Q34</f>
        <v>17.88</v>
      </c>
      <c r="X34" s="20">
        <v>0.4</v>
      </c>
    </row>
    <row r="35" spans="1:24" x14ac:dyDescent="0.35">
      <c r="A35" s="20">
        <v>40</v>
      </c>
      <c r="B35" s="20">
        <v>20</v>
      </c>
      <c r="C35" s="20">
        <v>20</v>
      </c>
      <c r="D35" s="20">
        <v>7.5</v>
      </c>
      <c r="E35" s="20">
        <v>0.35</v>
      </c>
      <c r="F35" s="20">
        <v>0.3</v>
      </c>
      <c r="G35" s="20">
        <f>D35+(F35/2)</f>
        <v>7.65</v>
      </c>
      <c r="H35" s="20">
        <f>D35</f>
        <v>7.5</v>
      </c>
      <c r="I35" s="23">
        <f>(G35*(E35-$B$7)*F35*B35)+(H35*(E35-$B$7)*F35*C35)</f>
        <v>17.725499999999997</v>
      </c>
      <c r="J35" s="23">
        <f>A35*D35*E35*F35</f>
        <v>31.5</v>
      </c>
      <c r="K35" s="20">
        <v>248</v>
      </c>
      <c r="L35" s="23">
        <f>(J35*K35)/1000</f>
        <v>7.8120000000000003</v>
      </c>
      <c r="M35" s="21">
        <f>(G35*2*(E35-$B$7)*B35)+(H35*2*(E35-$B$7)*C35)</f>
        <v>118.16999999999999</v>
      </c>
      <c r="P35" s="20">
        <v>2</v>
      </c>
      <c r="Q35" s="20">
        <v>4</v>
      </c>
      <c r="R35" s="20">
        <v>0.3</v>
      </c>
      <c r="S35" s="20">
        <v>0.3</v>
      </c>
      <c r="T35" s="20">
        <v>3.7250000000000001</v>
      </c>
      <c r="U35" s="20">
        <f t="shared" ref="U35:U38" si="3">T35+$E$28</f>
        <v>4.0750000000000002</v>
      </c>
      <c r="V35" s="23">
        <f t="shared" ref="V35:V38" si="4">T35*S35*R35*Q35</f>
        <v>1.341</v>
      </c>
      <c r="W35" s="23">
        <f t="shared" ref="W35:W38" si="5">((T35*S35*2)+(T35*R35*2))*Q35</f>
        <v>17.88</v>
      </c>
      <c r="X35" s="20">
        <v>0.3</v>
      </c>
    </row>
    <row r="36" spans="1:24" x14ac:dyDescent="0.35">
      <c r="P36" s="20">
        <v>3</v>
      </c>
      <c r="Q36" s="20">
        <v>4</v>
      </c>
      <c r="R36" s="20">
        <v>0.3</v>
      </c>
      <c r="S36" s="20">
        <v>0.3</v>
      </c>
      <c r="T36" s="20">
        <v>3.7250000000000001</v>
      </c>
      <c r="U36" s="20">
        <f t="shared" si="3"/>
        <v>4.0750000000000002</v>
      </c>
      <c r="V36" s="23">
        <f t="shared" si="4"/>
        <v>1.341</v>
      </c>
      <c r="W36" s="23">
        <f t="shared" si="5"/>
        <v>17.88</v>
      </c>
      <c r="X36" s="20">
        <v>0.2</v>
      </c>
    </row>
    <row r="37" spans="1:24" x14ac:dyDescent="0.35">
      <c r="P37" s="20">
        <v>4</v>
      </c>
      <c r="Q37" s="20">
        <v>4</v>
      </c>
      <c r="R37" s="20">
        <v>0.3</v>
      </c>
      <c r="S37" s="20">
        <v>0.3</v>
      </c>
      <c r="T37" s="20">
        <v>3.7250000000000001</v>
      </c>
      <c r="U37" s="20">
        <f t="shared" si="3"/>
        <v>4.0750000000000002</v>
      </c>
      <c r="V37" s="23">
        <f t="shared" si="4"/>
        <v>1.341</v>
      </c>
      <c r="W37" s="23">
        <f t="shared" si="5"/>
        <v>17.88</v>
      </c>
      <c r="X37" s="20">
        <v>0.1</v>
      </c>
    </row>
    <row r="38" spans="1:24" x14ac:dyDescent="0.35">
      <c r="P38" s="20">
        <v>5</v>
      </c>
      <c r="Q38" s="20">
        <v>4</v>
      </c>
      <c r="R38" s="20">
        <v>0.3</v>
      </c>
      <c r="S38" s="20">
        <v>0.3</v>
      </c>
      <c r="T38" s="20">
        <v>3.7250000000000001</v>
      </c>
      <c r="U38" s="20">
        <f t="shared" si="3"/>
        <v>4.0750000000000002</v>
      </c>
      <c r="V38" s="23">
        <f t="shared" si="4"/>
        <v>1.341</v>
      </c>
      <c r="W38" s="23">
        <f t="shared" si="5"/>
        <v>17.88</v>
      </c>
      <c r="X38" s="20">
        <v>0.2</v>
      </c>
    </row>
    <row r="39" spans="1:24" x14ac:dyDescent="0.35">
      <c r="U39" s="11" t="s">
        <v>195</v>
      </c>
      <c r="V39" s="22">
        <f>SUM(V34:V38)</f>
        <v>6.7050000000000001</v>
      </c>
      <c r="W39" s="22">
        <f>SUM(W34:W38)</f>
        <v>89.399999999999991</v>
      </c>
      <c r="X39" s="22">
        <f>SUM(X34:X38)</f>
        <v>1.2</v>
      </c>
    </row>
    <row r="44" spans="1:24" x14ac:dyDescent="0.35">
      <c r="A44" s="99" t="s">
        <v>31</v>
      </c>
      <c r="B44" s="99"/>
      <c r="C44" s="99"/>
      <c r="D44" s="99"/>
      <c r="E44" s="99"/>
      <c r="F44" s="99"/>
      <c r="G44" s="99"/>
      <c r="H44" s="99"/>
      <c r="I44" s="99"/>
      <c r="J44" s="99"/>
      <c r="K44" s="99"/>
      <c r="L44" s="99"/>
      <c r="M44" s="99"/>
      <c r="N44" s="99"/>
      <c r="O44" s="99"/>
    </row>
    <row r="45" spans="1:24" x14ac:dyDescent="0.35">
      <c r="A45" s="99"/>
      <c r="B45" s="99"/>
      <c r="C45" s="99"/>
      <c r="D45" s="99"/>
      <c r="E45" s="99"/>
      <c r="F45" s="99"/>
      <c r="G45" s="99"/>
      <c r="H45" s="99"/>
      <c r="I45" s="99"/>
      <c r="J45" s="99"/>
      <c r="K45" s="99"/>
      <c r="L45" s="99"/>
      <c r="M45" s="99"/>
      <c r="N45" s="99"/>
      <c r="O45" s="99"/>
    </row>
    <row r="46" spans="1:24" x14ac:dyDescent="0.35">
      <c r="A46" s="99"/>
      <c r="B46" s="99"/>
      <c r="C46" s="99"/>
      <c r="D46" s="99"/>
      <c r="E46" s="99"/>
      <c r="F46" s="99"/>
      <c r="G46" s="99"/>
      <c r="H46" s="99"/>
      <c r="I46" s="99"/>
      <c r="J46" s="99"/>
      <c r="K46" s="99"/>
      <c r="L46" s="99"/>
      <c r="M46" s="99"/>
      <c r="N46" s="99"/>
      <c r="O46" s="99"/>
    </row>
  </sheetData>
  <mergeCells count="98">
    <mergeCell ref="V32:V33"/>
    <mergeCell ref="W32:W33"/>
    <mergeCell ref="X32:X33"/>
    <mergeCell ref="AB2:AB5"/>
    <mergeCell ref="V22:V23"/>
    <mergeCell ref="W22:W23"/>
    <mergeCell ref="X22:X23"/>
    <mergeCell ref="P31:X31"/>
    <mergeCell ref="P32:P33"/>
    <mergeCell ref="Q32:Q33"/>
    <mergeCell ref="R32:R33"/>
    <mergeCell ref="S32:S33"/>
    <mergeCell ref="T32:T33"/>
    <mergeCell ref="U32:U33"/>
    <mergeCell ref="P22:P23"/>
    <mergeCell ref="Q22:Q23"/>
    <mergeCell ref="R22:R23"/>
    <mergeCell ref="S22:S23"/>
    <mergeCell ref="T22:T23"/>
    <mergeCell ref="U22:U23"/>
    <mergeCell ref="T12:T13"/>
    <mergeCell ref="U12:U13"/>
    <mergeCell ref="V12:V13"/>
    <mergeCell ref="W12:W13"/>
    <mergeCell ref="X12:X13"/>
    <mergeCell ref="P21:X21"/>
    <mergeCell ref="M12:M13"/>
    <mergeCell ref="M19:M20"/>
    <mergeCell ref="M26:M27"/>
    <mergeCell ref="M33:M34"/>
    <mergeCell ref="H5:H6"/>
    <mergeCell ref="P11:X11"/>
    <mergeCell ref="P12:P13"/>
    <mergeCell ref="Q12:Q13"/>
    <mergeCell ref="R12:R13"/>
    <mergeCell ref="S12:S13"/>
    <mergeCell ref="K33:K34"/>
    <mergeCell ref="L33:L34"/>
    <mergeCell ref="J12:J13"/>
    <mergeCell ref="J19:J20"/>
    <mergeCell ref="J26:J27"/>
    <mergeCell ref="J33:J34"/>
    <mergeCell ref="I33:I34"/>
    <mergeCell ref="K12:K13"/>
    <mergeCell ref="F5:F6"/>
    <mergeCell ref="D5:D6"/>
    <mergeCell ref="E5:E6"/>
    <mergeCell ref="G5:G6"/>
    <mergeCell ref="A1:U1"/>
    <mergeCell ref="A4:H4"/>
    <mergeCell ref="A5:A6"/>
    <mergeCell ref="B5:B6"/>
    <mergeCell ref="C5:C6"/>
    <mergeCell ref="L12:L13"/>
    <mergeCell ref="K19:K20"/>
    <mergeCell ref="L19:L20"/>
    <mergeCell ref="K26:K27"/>
    <mergeCell ref="L26:L27"/>
    <mergeCell ref="I26:I27"/>
    <mergeCell ref="I19:I20"/>
    <mergeCell ref="A25:G25"/>
    <mergeCell ref="A26:A27"/>
    <mergeCell ref="B26:B27"/>
    <mergeCell ref="C26:C27"/>
    <mergeCell ref="D26:D27"/>
    <mergeCell ref="E26:E27"/>
    <mergeCell ref="F26:F27"/>
    <mergeCell ref="G26:G27"/>
    <mergeCell ref="H26:H27"/>
    <mergeCell ref="E19:E20"/>
    <mergeCell ref="F19:F20"/>
    <mergeCell ref="G19:G20"/>
    <mergeCell ref="H19:H20"/>
    <mergeCell ref="H33:H34"/>
    <mergeCell ref="A32:G32"/>
    <mergeCell ref="A33:A34"/>
    <mergeCell ref="B33:B34"/>
    <mergeCell ref="C33:C34"/>
    <mergeCell ref="D33:D34"/>
    <mergeCell ref="E33:E34"/>
    <mergeCell ref="F33:F34"/>
    <mergeCell ref="G33:G34"/>
    <mergeCell ref="A11:G11"/>
    <mergeCell ref="A44:O46"/>
    <mergeCell ref="A12:A13"/>
    <mergeCell ref="B12:B13"/>
    <mergeCell ref="C12:C13"/>
    <mergeCell ref="E12:E13"/>
    <mergeCell ref="F12:F13"/>
    <mergeCell ref="G12:G13"/>
    <mergeCell ref="H12:H13"/>
    <mergeCell ref="D12:D13"/>
    <mergeCell ref="I12:I13"/>
    <mergeCell ref="A18:G18"/>
    <mergeCell ref="A19:A20"/>
    <mergeCell ref="B19:B20"/>
    <mergeCell ref="C19:C20"/>
    <mergeCell ref="D19:D20"/>
  </mergeCells>
  <pageMargins left="0.7" right="0.7" top="0.75" bottom="0.75" header="0.3" footer="0.3"/>
  <pageSetup paperSize="9" orientation="portrait" horizontalDpi="300" verticalDpi="0"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79AB2-7005-42A4-97B5-21D9C5316570}">
  <dimension ref="A1:AJ56"/>
  <sheetViews>
    <sheetView showGridLines="0" topLeftCell="G1" zoomScale="52" workbookViewId="0">
      <selection activeCell="P16" sqref="P16"/>
    </sheetView>
  </sheetViews>
  <sheetFormatPr defaultRowHeight="14.5" x14ac:dyDescent="0.35"/>
  <cols>
    <col min="1" max="1" width="17.54296875" style="9" customWidth="1"/>
    <col min="2" max="3" width="8.7265625" style="9"/>
    <col min="4" max="5" width="17.81640625" style="9" customWidth="1"/>
    <col min="6" max="6" width="9.36328125" style="9" customWidth="1"/>
    <col min="7" max="7" width="10.6328125" style="9" customWidth="1"/>
    <col min="8" max="8" width="13.90625" style="9" customWidth="1"/>
    <col min="9" max="9" width="18.54296875" style="9" customWidth="1"/>
    <col min="10" max="10" width="11.7265625" style="9" customWidth="1"/>
    <col min="11" max="11" width="10" style="9" customWidth="1"/>
    <col min="12" max="12" width="10.90625" style="9" customWidth="1"/>
    <col min="13" max="13" width="8.7265625" style="9"/>
    <col min="14" max="14" width="12" style="9" customWidth="1"/>
    <col min="15" max="15" width="8.7265625" style="9"/>
    <col min="16" max="16" width="17.1796875" style="9" customWidth="1"/>
    <col min="17" max="19" width="8.7265625" style="18"/>
    <col min="20" max="20" width="8.54296875" style="18" customWidth="1"/>
    <col min="21" max="21" width="23.81640625" style="18" customWidth="1"/>
    <col min="22" max="23" width="8.7265625" style="18"/>
    <col min="24" max="24" width="9.6328125" style="18" customWidth="1"/>
    <col min="25" max="25" width="8.7265625" style="18"/>
    <col min="26" max="26" width="8.7265625" style="84"/>
    <col min="27" max="31" width="8.7265625" style="18"/>
    <col min="32" max="32" width="15.08984375" style="18" customWidth="1"/>
    <col min="33" max="33" width="8.7265625" style="18"/>
    <col min="34" max="34" width="10.54296875" style="18" customWidth="1"/>
    <col min="35" max="16384" width="8.7265625" style="9"/>
  </cols>
  <sheetData>
    <row r="1" spans="1:36" ht="23.5" x14ac:dyDescent="0.55000000000000004">
      <c r="B1" s="103" t="s">
        <v>19</v>
      </c>
      <c r="C1" s="103"/>
      <c r="D1" s="103"/>
      <c r="E1" s="103"/>
      <c r="F1" s="103"/>
      <c r="G1" s="103"/>
      <c r="H1" s="103"/>
      <c r="I1" s="103"/>
      <c r="J1" s="103"/>
      <c r="K1" s="103"/>
      <c r="L1" s="103"/>
      <c r="M1" s="103"/>
      <c r="N1" s="103"/>
      <c r="O1" s="103"/>
      <c r="P1" s="103"/>
      <c r="Q1" s="103"/>
      <c r="R1" s="103"/>
      <c r="S1" s="103"/>
      <c r="T1" s="103"/>
      <c r="U1" s="103"/>
      <c r="V1" s="103"/>
    </row>
    <row r="2" spans="1:36" ht="16.5" x14ac:dyDescent="0.35">
      <c r="P2" s="7" t="s">
        <v>81</v>
      </c>
      <c r="Q2" s="32">
        <f>SUM(F9,V2,V4)</f>
        <v>320.69015500000017</v>
      </c>
      <c r="R2" s="25" t="s">
        <v>204</v>
      </c>
      <c r="S2" s="89"/>
      <c r="U2" s="31" t="s">
        <v>13</v>
      </c>
      <c r="V2" s="30">
        <f>J17+J24+J31+J38</f>
        <v>30.765825000000014</v>
      </c>
      <c r="W2" s="25" t="s">
        <v>204</v>
      </c>
    </row>
    <row r="3" spans="1:36" x14ac:dyDescent="0.35">
      <c r="B3" s="11"/>
      <c r="C3" s="11"/>
      <c r="D3" s="11"/>
      <c r="E3" s="11"/>
      <c r="F3" s="11"/>
      <c r="G3" s="11"/>
      <c r="H3" s="11"/>
      <c r="P3" s="7" t="s">
        <v>84</v>
      </c>
      <c r="Q3" s="32">
        <f>(Q2*Inventory!S5)/1000</f>
        <v>819.68403618000036</v>
      </c>
      <c r="R3" s="25" t="s">
        <v>80</v>
      </c>
      <c r="S3" s="89"/>
      <c r="U3" s="31" t="s">
        <v>213</v>
      </c>
      <c r="V3" s="30">
        <f>M15+M22+M29+M36</f>
        <v>64.257187500000001</v>
      </c>
      <c r="W3" s="25" t="s">
        <v>80</v>
      </c>
    </row>
    <row r="4" spans="1:36" ht="16.5" x14ac:dyDescent="0.35">
      <c r="B4" s="98" t="s">
        <v>18</v>
      </c>
      <c r="C4" s="98"/>
      <c r="D4" s="98"/>
      <c r="E4" s="98"/>
      <c r="F4" s="98"/>
      <c r="G4" s="98"/>
      <c r="H4" s="98"/>
      <c r="P4" s="7" t="s">
        <v>85</v>
      </c>
      <c r="Q4" s="32">
        <f>(Q2*Inventory!S6)/1000</f>
        <v>772.86327355000037</v>
      </c>
      <c r="R4" s="25" t="s">
        <v>80</v>
      </c>
      <c r="S4" s="89"/>
      <c r="U4" s="31" t="s">
        <v>214</v>
      </c>
      <c r="V4" s="30">
        <f>AG21+AG31+AG41</f>
        <v>13.66845</v>
      </c>
      <c r="W4" s="25" t="s">
        <v>204</v>
      </c>
    </row>
    <row r="5" spans="1:36" x14ac:dyDescent="0.35">
      <c r="B5" s="100" t="s">
        <v>0</v>
      </c>
      <c r="C5" s="100" t="s">
        <v>1</v>
      </c>
      <c r="D5" s="100" t="s">
        <v>14</v>
      </c>
      <c r="E5" s="102" t="s">
        <v>17</v>
      </c>
      <c r="F5" s="102" t="s">
        <v>193</v>
      </c>
      <c r="G5" s="100" t="s">
        <v>208</v>
      </c>
      <c r="H5" s="101" t="s">
        <v>15</v>
      </c>
      <c r="I5" s="102" t="s">
        <v>194</v>
      </c>
      <c r="J5" s="59" t="s">
        <v>216</v>
      </c>
      <c r="K5" s="59">
        <v>0.02</v>
      </c>
      <c r="P5" s="58" t="s">
        <v>79</v>
      </c>
      <c r="Q5" s="29">
        <v>0</v>
      </c>
      <c r="R5" s="25" t="s">
        <v>80</v>
      </c>
      <c r="S5" s="89"/>
    </row>
    <row r="6" spans="1:36" ht="16.5" x14ac:dyDescent="0.35">
      <c r="B6" s="100"/>
      <c r="C6" s="100"/>
      <c r="D6" s="100"/>
      <c r="E6" s="102"/>
      <c r="F6" s="102"/>
      <c r="G6" s="100"/>
      <c r="H6" s="101"/>
      <c r="I6" s="102"/>
      <c r="P6" s="7" t="s">
        <v>108</v>
      </c>
      <c r="Q6" s="32">
        <f>SUM(I9,AH21,AH31,AH41)</f>
        <v>112.65199999999997</v>
      </c>
      <c r="R6" s="25" t="s">
        <v>205</v>
      </c>
      <c r="S6" s="89"/>
    </row>
    <row r="7" spans="1:36" ht="16.5" x14ac:dyDescent="0.35">
      <c r="A7" s="15" t="s">
        <v>29</v>
      </c>
      <c r="B7" s="15">
        <v>5</v>
      </c>
      <c r="C7" s="15">
        <v>0.155</v>
      </c>
      <c r="D7" s="15">
        <v>45.3</v>
      </c>
      <c r="E7" s="15">
        <v>30.3</v>
      </c>
      <c r="F7" s="16">
        <f>B7*C7*D7*E7</f>
        <v>1063.7572500000001</v>
      </c>
      <c r="G7" s="15">
        <v>42</v>
      </c>
      <c r="H7" s="16">
        <f>F7*G7/1000</f>
        <v>44.677804500000008</v>
      </c>
      <c r="I7" s="16">
        <f>(D7+E7)*2*C7*B7</f>
        <v>117.17999999999998</v>
      </c>
      <c r="P7" s="7" t="s">
        <v>109</v>
      </c>
      <c r="Q7" s="32">
        <f>SUM(N17,N24,N31,N38)</f>
        <v>114.72300000000013</v>
      </c>
      <c r="R7" s="25" t="s">
        <v>205</v>
      </c>
      <c r="S7" s="89"/>
    </row>
    <row r="8" spans="1:36" ht="16.5" x14ac:dyDescent="0.35">
      <c r="A8" s="15" t="s">
        <v>28</v>
      </c>
      <c r="B8" s="15">
        <v>5</v>
      </c>
      <c r="C8" s="15">
        <f>(C7-2*$K$5)</f>
        <v>0.11499999999999999</v>
      </c>
      <c r="D8" s="15">
        <f>D7-2*$K$5</f>
        <v>45.26</v>
      </c>
      <c r="E8" s="15">
        <f>E7-2*$K$5</f>
        <v>30.26</v>
      </c>
      <c r="F8" s="16">
        <f>B8*C8*D8*E8</f>
        <v>787.50136999999995</v>
      </c>
      <c r="G8" s="15"/>
      <c r="H8" s="15"/>
      <c r="I8" s="16">
        <f>(D8+E8)*2*C8*B8</f>
        <v>86.847999999999985</v>
      </c>
      <c r="P8" s="7" t="s">
        <v>183</v>
      </c>
      <c r="Q8" s="29">
        <f>'New build case_for_reuse'!M8</f>
        <v>1327.5900000000001</v>
      </c>
      <c r="R8" s="25" t="s">
        <v>205</v>
      </c>
      <c r="S8" s="89"/>
    </row>
    <row r="9" spans="1:36" x14ac:dyDescent="0.35">
      <c r="A9" s="63" t="s">
        <v>30</v>
      </c>
      <c r="B9" s="63"/>
      <c r="C9" s="63"/>
      <c r="D9" s="63"/>
      <c r="E9" s="63"/>
      <c r="F9" s="62">
        <f>F7-F8</f>
        <v>276.25588000000016</v>
      </c>
      <c r="G9" s="63"/>
      <c r="H9" s="63"/>
      <c r="I9" s="62">
        <f>I7-I8</f>
        <v>30.331999999999994</v>
      </c>
    </row>
    <row r="10" spans="1:36" x14ac:dyDescent="0.35">
      <c r="K10" s="10"/>
    </row>
    <row r="11" spans="1:36" x14ac:dyDescent="0.35">
      <c r="K11" s="10"/>
    </row>
    <row r="12" spans="1:36" x14ac:dyDescent="0.35">
      <c r="B12" s="98" t="s">
        <v>3</v>
      </c>
      <c r="C12" s="98"/>
      <c r="D12" s="98"/>
      <c r="E12" s="98"/>
      <c r="F12" s="98"/>
      <c r="G12" s="98"/>
      <c r="H12" s="98"/>
      <c r="N12" s="59" t="s">
        <v>216</v>
      </c>
      <c r="O12" s="59">
        <v>2.5000000000000001E-2</v>
      </c>
      <c r="Q12" s="98" t="s">
        <v>34</v>
      </c>
      <c r="R12" s="98"/>
      <c r="S12" s="98"/>
      <c r="T12" s="98"/>
      <c r="U12" s="98"/>
      <c r="V12" s="98"/>
      <c r="W12" s="98"/>
      <c r="X12" s="98"/>
      <c r="Y12" s="98"/>
      <c r="Z12" s="85"/>
      <c r="AB12" s="98" t="s">
        <v>33</v>
      </c>
      <c r="AC12" s="98"/>
      <c r="AD12" s="98"/>
      <c r="AE12" s="98"/>
      <c r="AF12" s="98"/>
      <c r="AG12" s="98"/>
      <c r="AH12" s="11"/>
      <c r="AI12" s="13"/>
      <c r="AJ12" s="13"/>
    </row>
    <row r="13" spans="1:36" ht="14.5" customHeight="1" x14ac:dyDescent="0.35">
      <c r="A13" s="15"/>
      <c r="B13" s="100" t="s">
        <v>6</v>
      </c>
      <c r="C13" s="100" t="s">
        <v>4</v>
      </c>
      <c r="D13" s="100" t="s">
        <v>5</v>
      </c>
      <c r="E13" s="100" t="s">
        <v>9</v>
      </c>
      <c r="F13" s="100" t="s">
        <v>1</v>
      </c>
      <c r="G13" s="100" t="s">
        <v>2</v>
      </c>
      <c r="H13" s="100" t="s">
        <v>7</v>
      </c>
      <c r="I13" s="100" t="s">
        <v>8</v>
      </c>
      <c r="J13" s="100" t="s">
        <v>206</v>
      </c>
      <c r="K13" s="100" t="s">
        <v>207</v>
      </c>
      <c r="L13" s="100" t="s">
        <v>16</v>
      </c>
      <c r="M13" s="101" t="s">
        <v>15</v>
      </c>
      <c r="N13" s="102" t="s">
        <v>194</v>
      </c>
      <c r="Q13" s="100" t="s">
        <v>21</v>
      </c>
      <c r="R13" s="100" t="s">
        <v>22</v>
      </c>
      <c r="S13" s="100" t="s">
        <v>1</v>
      </c>
      <c r="T13" s="100" t="s">
        <v>2</v>
      </c>
      <c r="U13" s="100" t="s">
        <v>23</v>
      </c>
      <c r="V13" s="100" t="s">
        <v>24</v>
      </c>
      <c r="W13" s="100" t="s">
        <v>196</v>
      </c>
      <c r="X13" s="100" t="s">
        <v>194</v>
      </c>
      <c r="Y13" s="101" t="s">
        <v>15</v>
      </c>
      <c r="Z13" s="86"/>
      <c r="AB13" s="102" t="s">
        <v>21</v>
      </c>
      <c r="AC13" s="102" t="s">
        <v>22</v>
      </c>
      <c r="AD13" s="102" t="s">
        <v>1</v>
      </c>
      <c r="AE13" s="102" t="s">
        <v>2</v>
      </c>
      <c r="AF13" s="102" t="s">
        <v>23</v>
      </c>
      <c r="AG13" s="100" t="s">
        <v>196</v>
      </c>
      <c r="AH13" s="100" t="s">
        <v>194</v>
      </c>
    </row>
    <row r="14" spans="1:36" x14ac:dyDescent="0.35">
      <c r="A14" s="15"/>
      <c r="B14" s="100"/>
      <c r="C14" s="100"/>
      <c r="D14" s="100"/>
      <c r="E14" s="100"/>
      <c r="F14" s="100"/>
      <c r="G14" s="100"/>
      <c r="H14" s="100"/>
      <c r="I14" s="100"/>
      <c r="J14" s="100"/>
      <c r="K14" s="100"/>
      <c r="L14" s="100"/>
      <c r="M14" s="101"/>
      <c r="N14" s="102"/>
      <c r="Q14" s="100"/>
      <c r="R14" s="100"/>
      <c r="S14" s="100"/>
      <c r="T14" s="100"/>
      <c r="U14" s="100"/>
      <c r="V14" s="100"/>
      <c r="W14" s="100"/>
      <c r="X14" s="100"/>
      <c r="Y14" s="101"/>
      <c r="Z14" s="86"/>
      <c r="AB14" s="102"/>
      <c r="AC14" s="102"/>
      <c r="AD14" s="102"/>
      <c r="AE14" s="102"/>
      <c r="AF14" s="102"/>
      <c r="AG14" s="100"/>
      <c r="AH14" s="100"/>
    </row>
    <row r="15" spans="1:36" x14ac:dyDescent="0.35">
      <c r="A15" s="15" t="s">
        <v>29</v>
      </c>
      <c r="B15" s="15">
        <v>90</v>
      </c>
      <c r="C15" s="15">
        <v>30</v>
      </c>
      <c r="D15" s="15">
        <v>60</v>
      </c>
      <c r="E15" s="15">
        <v>7.5</v>
      </c>
      <c r="F15" s="15">
        <v>0.375</v>
      </c>
      <c r="G15" s="15">
        <v>0.3</v>
      </c>
      <c r="H15" s="15">
        <f>E15-(2*G15/2)</f>
        <v>7.2</v>
      </c>
      <c r="I15" s="15">
        <f>E15-(2*G15/2)</f>
        <v>7.2</v>
      </c>
      <c r="J15" s="17">
        <f>(H15*(F15-$C$7)*G15*C15)+(I15*(F15-$C$7)*G15*D15)</f>
        <v>42.768000000000001</v>
      </c>
      <c r="K15" s="17">
        <f>B15*E15*F15*G15</f>
        <v>75.9375</v>
      </c>
      <c r="L15" s="15">
        <v>279</v>
      </c>
      <c r="M15" s="17">
        <f>(K15*L15)/1000</f>
        <v>21.186562500000001</v>
      </c>
      <c r="N15" s="16">
        <f>(H15*2*(F15-$C$7)*C15)+(I15*2*(F15-$C$7)*D15)</f>
        <v>285.12</v>
      </c>
      <c r="Q15" s="20">
        <v>1</v>
      </c>
      <c r="R15" s="20">
        <v>15</v>
      </c>
      <c r="S15" s="20">
        <v>0.375</v>
      </c>
      <c r="T15" s="20">
        <v>0.375</v>
      </c>
      <c r="U15" s="20">
        <v>3.7</v>
      </c>
      <c r="V15" s="20">
        <f>U15+$F$15</f>
        <v>4.0750000000000002</v>
      </c>
      <c r="W15" s="23">
        <f>U15*T15*S15*R15</f>
        <v>7.8046875000000009</v>
      </c>
      <c r="X15" s="23">
        <f>((U15*T15*2)+(U15*S15*2))*R15</f>
        <v>83.250000000000014</v>
      </c>
      <c r="Y15" s="20">
        <v>4.3</v>
      </c>
      <c r="AB15" s="42">
        <v>1</v>
      </c>
      <c r="AC15" s="42">
        <v>15</v>
      </c>
      <c r="AD15" s="42">
        <f>S15-2*$O$19</f>
        <v>0.32500000000000001</v>
      </c>
      <c r="AE15" s="42">
        <f>T15-2*$O$19</f>
        <v>0.32500000000000001</v>
      </c>
      <c r="AF15" s="42">
        <f>U15</f>
        <v>3.7</v>
      </c>
      <c r="AG15" s="66">
        <f>AF15*AE15*AD15*AC15</f>
        <v>5.862187500000001</v>
      </c>
      <c r="AH15" s="66">
        <f>((AF15*AE15*2)+(AF15*AD15*2))*AC15</f>
        <v>72.150000000000006</v>
      </c>
    </row>
    <row r="16" spans="1:36" x14ac:dyDescent="0.35">
      <c r="A16" s="15" t="s">
        <v>28</v>
      </c>
      <c r="B16" s="15">
        <v>90</v>
      </c>
      <c r="C16" s="15">
        <v>30</v>
      </c>
      <c r="D16" s="15">
        <v>60</v>
      </c>
      <c r="E16" s="15">
        <v>7.5</v>
      </c>
      <c r="F16" s="15">
        <f>F15-$O$12</f>
        <v>0.35</v>
      </c>
      <c r="G16" s="15">
        <f>G15-2*O12</f>
        <v>0.25</v>
      </c>
      <c r="H16" s="15">
        <f>H15</f>
        <v>7.2</v>
      </c>
      <c r="I16" s="15">
        <f>I15</f>
        <v>7.2</v>
      </c>
      <c r="J16" s="17">
        <f>(H16*(F16-$C$7)*G16*C16)+(I16*(F16-$C$7)*G16*D16)</f>
        <v>31.589999999999996</v>
      </c>
      <c r="K16" s="15"/>
      <c r="L16" s="15"/>
      <c r="M16" s="15"/>
      <c r="N16" s="16">
        <f>(H16*2*(F16-$C$7)*C16)+(I16*2*(F16-$C$7)*D16)</f>
        <v>252.71999999999997</v>
      </c>
      <c r="Q16" s="20">
        <v>2</v>
      </c>
      <c r="R16" s="20">
        <v>15</v>
      </c>
      <c r="S16" s="20">
        <v>0.375</v>
      </c>
      <c r="T16" s="20">
        <v>0.375</v>
      </c>
      <c r="U16" s="20">
        <v>3.7</v>
      </c>
      <c r="V16" s="20">
        <f>U16+$F$15</f>
        <v>4.0750000000000002</v>
      </c>
      <c r="W16" s="23">
        <f>U16*T16*S16*R16</f>
        <v>7.8046875000000009</v>
      </c>
      <c r="X16" s="23">
        <f>((U16*T16*2)+(U16*S16*2))*R16</f>
        <v>83.250000000000014</v>
      </c>
      <c r="Y16" s="20">
        <v>2</v>
      </c>
      <c r="AB16" s="42">
        <v>2</v>
      </c>
      <c r="AC16" s="42">
        <v>15</v>
      </c>
      <c r="AD16" s="42">
        <f t="shared" ref="AD16:AD19" si="0">S16-2*$O$19</f>
        <v>0.32500000000000001</v>
      </c>
      <c r="AE16" s="42">
        <f t="shared" ref="AE16:AE19" si="1">T16-2*$O$19</f>
        <v>0.32500000000000001</v>
      </c>
      <c r="AF16" s="42">
        <f t="shared" ref="AF16:AF19" si="2">U16</f>
        <v>3.7</v>
      </c>
      <c r="AG16" s="66">
        <f t="shared" ref="AG16:AG19" si="3">AF16*AE16*AD16*AC16</f>
        <v>5.862187500000001</v>
      </c>
      <c r="AH16" s="66">
        <f t="shared" ref="AH16:AH19" si="4">((AF16*AE16*2)+(AF16*AD16*2))*AC16</f>
        <v>72.150000000000006</v>
      </c>
    </row>
    <row r="17" spans="1:34" x14ac:dyDescent="0.35">
      <c r="A17" s="59" t="s">
        <v>30</v>
      </c>
      <c r="B17" s="59"/>
      <c r="C17" s="59"/>
      <c r="D17" s="59"/>
      <c r="E17" s="59"/>
      <c r="F17" s="59"/>
      <c r="G17" s="59"/>
      <c r="H17" s="59"/>
      <c r="I17" s="59"/>
      <c r="J17" s="61">
        <f>J15-J16</f>
        <v>11.178000000000004</v>
      </c>
      <c r="K17" s="59"/>
      <c r="L17" s="59"/>
      <c r="M17" s="59"/>
      <c r="N17" s="60">
        <f>N15-N16</f>
        <v>32.400000000000034</v>
      </c>
      <c r="Q17" s="20">
        <v>3</v>
      </c>
      <c r="R17" s="20">
        <v>15</v>
      </c>
      <c r="S17" s="20">
        <v>0.375</v>
      </c>
      <c r="T17" s="20">
        <v>0.375</v>
      </c>
      <c r="U17" s="20">
        <v>3.7</v>
      </c>
      <c r="V17" s="20">
        <f>U17+$F$15</f>
        <v>4.0750000000000002</v>
      </c>
      <c r="W17" s="23">
        <f>U17*T17*S17*R17</f>
        <v>7.8046875000000009</v>
      </c>
      <c r="X17" s="23">
        <f>((U17*T17*2)+(U17*S17*2))*R17</f>
        <v>83.250000000000014</v>
      </c>
      <c r="Y17" s="20">
        <v>0.5</v>
      </c>
      <c r="AB17" s="42">
        <v>3</v>
      </c>
      <c r="AC17" s="42">
        <v>15</v>
      </c>
      <c r="AD17" s="42">
        <f t="shared" si="0"/>
        <v>0.32500000000000001</v>
      </c>
      <c r="AE17" s="42">
        <f t="shared" si="1"/>
        <v>0.32500000000000001</v>
      </c>
      <c r="AF17" s="42">
        <f t="shared" si="2"/>
        <v>3.7</v>
      </c>
      <c r="AG17" s="66">
        <f t="shared" si="3"/>
        <v>5.862187500000001</v>
      </c>
      <c r="AH17" s="66">
        <f t="shared" si="4"/>
        <v>72.150000000000006</v>
      </c>
    </row>
    <row r="18" spans="1:34" x14ac:dyDescent="0.35">
      <c r="Q18" s="20">
        <v>4</v>
      </c>
      <c r="R18" s="20">
        <v>15</v>
      </c>
      <c r="S18" s="20">
        <v>0.375</v>
      </c>
      <c r="T18" s="20">
        <v>0.375</v>
      </c>
      <c r="U18" s="20">
        <v>3.7</v>
      </c>
      <c r="V18" s="20">
        <f>U18+$F$15</f>
        <v>4.0750000000000002</v>
      </c>
      <c r="W18" s="23">
        <f>U18*T18*S18*R18</f>
        <v>7.8046875000000009</v>
      </c>
      <c r="X18" s="23">
        <f>((U18*T18*2)+(U18*S18*2))*R18</f>
        <v>83.250000000000014</v>
      </c>
      <c r="Y18" s="20">
        <v>0.5</v>
      </c>
      <c r="AB18" s="42">
        <v>4</v>
      </c>
      <c r="AC18" s="42">
        <v>15</v>
      </c>
      <c r="AD18" s="42">
        <f t="shared" si="0"/>
        <v>0.32500000000000001</v>
      </c>
      <c r="AE18" s="42">
        <f t="shared" si="1"/>
        <v>0.32500000000000001</v>
      </c>
      <c r="AF18" s="42">
        <f t="shared" si="2"/>
        <v>3.7</v>
      </c>
      <c r="AG18" s="66">
        <f t="shared" si="3"/>
        <v>5.862187500000001</v>
      </c>
      <c r="AH18" s="66">
        <f t="shared" si="4"/>
        <v>72.150000000000006</v>
      </c>
    </row>
    <row r="19" spans="1:34" x14ac:dyDescent="0.35">
      <c r="B19" s="98" t="s">
        <v>10</v>
      </c>
      <c r="C19" s="98"/>
      <c r="D19" s="98"/>
      <c r="E19" s="98"/>
      <c r="F19" s="98"/>
      <c r="G19" s="98"/>
      <c r="H19" s="98"/>
      <c r="N19" s="59" t="s">
        <v>216</v>
      </c>
      <c r="O19" s="59">
        <v>2.5000000000000001E-2</v>
      </c>
      <c r="Q19" s="20">
        <v>5</v>
      </c>
      <c r="R19" s="20">
        <v>15</v>
      </c>
      <c r="S19" s="20">
        <v>0.375</v>
      </c>
      <c r="T19" s="20">
        <v>0.375</v>
      </c>
      <c r="U19" s="20">
        <v>3.7</v>
      </c>
      <c r="V19" s="20">
        <f>U19+$F$15</f>
        <v>4.0750000000000002</v>
      </c>
      <c r="W19" s="23">
        <f>U19*T19*S19*R19</f>
        <v>7.8046875000000009</v>
      </c>
      <c r="X19" s="23">
        <f>((U19*T19*2)+(U19*S19*2))*R19</f>
        <v>83.250000000000014</v>
      </c>
      <c r="Y19" s="20">
        <v>0.5</v>
      </c>
      <c r="AB19" s="42">
        <v>5</v>
      </c>
      <c r="AC19" s="42">
        <v>15</v>
      </c>
      <c r="AD19" s="42">
        <f t="shared" si="0"/>
        <v>0.32500000000000001</v>
      </c>
      <c r="AE19" s="42">
        <f t="shared" si="1"/>
        <v>0.32500000000000001</v>
      </c>
      <c r="AF19" s="42">
        <f t="shared" si="2"/>
        <v>3.7</v>
      </c>
      <c r="AG19" s="66">
        <f t="shared" si="3"/>
        <v>5.862187500000001</v>
      </c>
      <c r="AH19" s="66">
        <f t="shared" si="4"/>
        <v>72.150000000000006</v>
      </c>
    </row>
    <row r="20" spans="1:34" ht="14.5" customHeight="1" x14ac:dyDescent="0.35">
      <c r="B20" s="100" t="s">
        <v>6</v>
      </c>
      <c r="C20" s="100" t="s">
        <v>4</v>
      </c>
      <c r="D20" s="100" t="s">
        <v>5</v>
      </c>
      <c r="E20" s="100" t="s">
        <v>9</v>
      </c>
      <c r="F20" s="100" t="s">
        <v>1</v>
      </c>
      <c r="G20" s="100" t="s">
        <v>2</v>
      </c>
      <c r="H20" s="100" t="s">
        <v>7</v>
      </c>
      <c r="I20" s="100" t="s">
        <v>8</v>
      </c>
      <c r="J20" s="100" t="s">
        <v>206</v>
      </c>
      <c r="K20" s="100" t="s">
        <v>207</v>
      </c>
      <c r="L20" s="100" t="s">
        <v>16</v>
      </c>
      <c r="M20" s="101" t="s">
        <v>15</v>
      </c>
      <c r="N20" s="102" t="s">
        <v>194</v>
      </c>
      <c r="Q20" s="31"/>
      <c r="R20" s="31"/>
      <c r="S20" s="31"/>
      <c r="T20" s="31"/>
      <c r="U20" s="31" t="s">
        <v>195</v>
      </c>
      <c r="V20" s="31"/>
      <c r="W20" s="67">
        <f>SUM(W15:W19)</f>
        <v>39.023437500000007</v>
      </c>
      <c r="X20" s="30">
        <f>SUM(X15:X19)</f>
        <v>416.25000000000006</v>
      </c>
      <c r="Y20" s="30">
        <f>SUM(Y15:Y19)</f>
        <v>7.8</v>
      </c>
      <c r="Z20" s="87"/>
      <c r="AB20" s="42"/>
      <c r="AC20" s="42"/>
      <c r="AD20" s="42"/>
      <c r="AE20" s="42"/>
      <c r="AF20" s="42"/>
      <c r="AG20" s="66">
        <f>SUM(AG15:AG19)</f>
        <v>29.310937500000005</v>
      </c>
      <c r="AH20" s="66">
        <f>SUM(AH15:AH19)</f>
        <v>360.75</v>
      </c>
    </row>
    <row r="21" spans="1:34" x14ac:dyDescent="0.35">
      <c r="B21" s="100"/>
      <c r="C21" s="100"/>
      <c r="D21" s="100"/>
      <c r="E21" s="100"/>
      <c r="F21" s="100"/>
      <c r="G21" s="100"/>
      <c r="H21" s="100"/>
      <c r="I21" s="100"/>
      <c r="J21" s="100"/>
      <c r="K21" s="100"/>
      <c r="L21" s="100"/>
      <c r="M21" s="101"/>
      <c r="N21" s="102"/>
      <c r="AE21" s="106" t="s">
        <v>30</v>
      </c>
      <c r="AF21" s="106"/>
      <c r="AG21" s="68">
        <f>W20-AG20</f>
        <v>9.7125000000000021</v>
      </c>
      <c r="AH21" s="68">
        <f>X20-AH20</f>
        <v>55.500000000000057</v>
      </c>
    </row>
    <row r="22" spans="1:34" x14ac:dyDescent="0.35">
      <c r="A22" s="15" t="s">
        <v>29</v>
      </c>
      <c r="B22" s="64">
        <v>100</v>
      </c>
      <c r="C22" s="15">
        <v>50</v>
      </c>
      <c r="D22" s="15">
        <v>50</v>
      </c>
      <c r="E22" s="15">
        <v>7.5</v>
      </c>
      <c r="F22" s="15">
        <v>0.375</v>
      </c>
      <c r="G22" s="15">
        <v>0.3</v>
      </c>
      <c r="H22" s="15">
        <f>E22-(G22/2)</f>
        <v>7.35</v>
      </c>
      <c r="I22" s="15">
        <f>E22</f>
        <v>7.5</v>
      </c>
      <c r="J22" s="17">
        <f>(H22*(F22-$C$7)*G22*C22)+(I22*(F22-$C$7)*G22*D22)</f>
        <v>49.004999999999995</v>
      </c>
      <c r="K22" s="17">
        <f>B22*E22*F22*G22</f>
        <v>84.375</v>
      </c>
      <c r="L22" s="15">
        <v>279</v>
      </c>
      <c r="M22" s="17">
        <f>(K22*L22)/1000</f>
        <v>23.540624999999999</v>
      </c>
      <c r="N22" s="16">
        <f>(H22*2*(F22-$C$7)*C22)+(I22*2*(F22-$C$7)*D22)</f>
        <v>326.7</v>
      </c>
      <c r="Q22" s="98" t="s">
        <v>35</v>
      </c>
      <c r="R22" s="98"/>
      <c r="S22" s="98"/>
      <c r="T22" s="98"/>
      <c r="U22" s="98"/>
      <c r="V22" s="98"/>
      <c r="W22" s="98"/>
      <c r="X22" s="98"/>
      <c r="Y22" s="98"/>
      <c r="Z22" s="85"/>
      <c r="AB22" s="98" t="s">
        <v>37</v>
      </c>
      <c r="AC22" s="98"/>
      <c r="AD22" s="98"/>
      <c r="AE22" s="98"/>
      <c r="AF22" s="98"/>
      <c r="AG22" s="98"/>
    </row>
    <row r="23" spans="1:34" ht="14.5" customHeight="1" x14ac:dyDescent="0.35">
      <c r="A23" s="15" t="s">
        <v>28</v>
      </c>
      <c r="B23" s="64">
        <v>100</v>
      </c>
      <c r="C23" s="15">
        <v>50</v>
      </c>
      <c r="D23" s="15">
        <v>50</v>
      </c>
      <c r="E23" s="15">
        <v>7.5</v>
      </c>
      <c r="F23" s="15">
        <f>F22-$O$19</f>
        <v>0.35</v>
      </c>
      <c r="G23" s="15">
        <f>G22-2*O19</f>
        <v>0.25</v>
      </c>
      <c r="H23" s="15">
        <f>H22</f>
        <v>7.35</v>
      </c>
      <c r="I23" s="15">
        <f>I22</f>
        <v>7.5</v>
      </c>
      <c r="J23" s="17">
        <f>(H23*(F23-$C$7)*G23*C23)+(I23*(F23-$C$7)*G23*D23)</f>
        <v>36.196874999999991</v>
      </c>
      <c r="K23" s="15"/>
      <c r="L23" s="15"/>
      <c r="M23" s="15"/>
      <c r="N23" s="16">
        <f>(H23*2*(F23-$C$7)*C23)+(I23*2*(F23-$C$7)*D23)</f>
        <v>289.57499999999993</v>
      </c>
      <c r="Q23" s="100" t="s">
        <v>21</v>
      </c>
      <c r="R23" s="100" t="s">
        <v>22</v>
      </c>
      <c r="S23" s="100" t="s">
        <v>1</v>
      </c>
      <c r="T23" s="100" t="s">
        <v>2</v>
      </c>
      <c r="U23" s="100" t="s">
        <v>23</v>
      </c>
      <c r="V23" s="100" t="s">
        <v>24</v>
      </c>
      <c r="W23" s="100" t="s">
        <v>196</v>
      </c>
      <c r="X23" s="100" t="s">
        <v>194</v>
      </c>
      <c r="Y23" s="101" t="s">
        <v>15</v>
      </c>
      <c r="Z23" s="86"/>
      <c r="AB23" s="100" t="s">
        <v>21</v>
      </c>
      <c r="AC23" s="100" t="s">
        <v>22</v>
      </c>
      <c r="AD23" s="100" t="s">
        <v>1</v>
      </c>
      <c r="AE23" s="100" t="s">
        <v>2</v>
      </c>
      <c r="AF23" s="100" t="s">
        <v>23</v>
      </c>
      <c r="AG23" s="100" t="s">
        <v>196</v>
      </c>
      <c r="AH23" s="100" t="s">
        <v>194</v>
      </c>
    </row>
    <row r="24" spans="1:34" x14ac:dyDescent="0.35">
      <c r="A24" s="63" t="s">
        <v>30</v>
      </c>
      <c r="B24" s="59"/>
      <c r="C24" s="59"/>
      <c r="D24" s="59"/>
      <c r="E24" s="59"/>
      <c r="F24" s="59"/>
      <c r="G24" s="59"/>
      <c r="H24" s="59"/>
      <c r="I24" s="59"/>
      <c r="J24" s="61">
        <f>J22-J23</f>
        <v>12.808125000000004</v>
      </c>
      <c r="K24" s="59"/>
      <c r="L24" s="59"/>
      <c r="M24" s="59"/>
      <c r="N24" s="60">
        <f>N22-N23</f>
        <v>37.125000000000057</v>
      </c>
      <c r="Q24" s="100"/>
      <c r="R24" s="100"/>
      <c r="S24" s="100"/>
      <c r="T24" s="100"/>
      <c r="U24" s="100"/>
      <c r="V24" s="100"/>
      <c r="W24" s="100"/>
      <c r="X24" s="100"/>
      <c r="Y24" s="101"/>
      <c r="Z24" s="86"/>
      <c r="AB24" s="100"/>
      <c r="AC24" s="100"/>
      <c r="AD24" s="100"/>
      <c r="AE24" s="100"/>
      <c r="AF24" s="100"/>
      <c r="AG24" s="100"/>
      <c r="AH24" s="100"/>
    </row>
    <row r="25" spans="1:34" x14ac:dyDescent="0.35">
      <c r="Q25" s="20">
        <v>1</v>
      </c>
      <c r="R25" s="20">
        <v>16</v>
      </c>
      <c r="S25" s="20">
        <v>0.3</v>
      </c>
      <c r="T25" s="20">
        <v>0.3</v>
      </c>
      <c r="U25" s="20">
        <v>3.7250000000000001</v>
      </c>
      <c r="V25" s="20">
        <f>U25+$F$29</f>
        <v>4.0750000000000002</v>
      </c>
      <c r="W25" s="23">
        <f>U25*T25*S25*R25</f>
        <v>5.3639999999999999</v>
      </c>
      <c r="X25" s="23">
        <f>((U25*T25*2)+(U25*S25*2))*R25</f>
        <v>71.52</v>
      </c>
      <c r="Y25" s="20">
        <v>4.5999999999999996</v>
      </c>
      <c r="AB25" s="20">
        <v>1</v>
      </c>
      <c r="AC25" s="20">
        <v>16</v>
      </c>
      <c r="AD25" s="20">
        <f>S25-$O$26</f>
        <v>0.27</v>
      </c>
      <c r="AE25" s="20">
        <f>T25</f>
        <v>0.3</v>
      </c>
      <c r="AF25" s="20">
        <f>U25</f>
        <v>3.7250000000000001</v>
      </c>
      <c r="AG25" s="23">
        <f>AF25*AE25*AD25*AC25</f>
        <v>4.8276000000000003</v>
      </c>
      <c r="AH25" s="23">
        <f>((AF25*AE25*2)+(AF25*AD25*2))*AC25</f>
        <v>67.944000000000003</v>
      </c>
    </row>
    <row r="26" spans="1:34" x14ac:dyDescent="0.35">
      <c r="B26" s="98" t="s">
        <v>11</v>
      </c>
      <c r="C26" s="98"/>
      <c r="D26" s="98"/>
      <c r="E26" s="98"/>
      <c r="F26" s="98"/>
      <c r="G26" s="98"/>
      <c r="H26" s="98"/>
      <c r="N26" s="59" t="s">
        <v>216</v>
      </c>
      <c r="O26" s="59">
        <v>0.03</v>
      </c>
      <c r="Q26" s="20">
        <v>2</v>
      </c>
      <c r="R26" s="20">
        <v>16</v>
      </c>
      <c r="S26" s="20">
        <v>0.3</v>
      </c>
      <c r="T26" s="20">
        <v>0.3</v>
      </c>
      <c r="U26" s="20">
        <v>3.7250000000000001</v>
      </c>
      <c r="V26" s="20">
        <f t="shared" ref="V26:V29" si="5">U26+$F$29</f>
        <v>4.0750000000000002</v>
      </c>
      <c r="W26" s="23">
        <f t="shared" ref="W26:W29" si="6">U26*T26*S26*R26</f>
        <v>5.3639999999999999</v>
      </c>
      <c r="X26" s="23">
        <f t="shared" ref="X26:X29" si="7">((U26*T26*2)+(U26*S26*2))*R26</f>
        <v>71.52</v>
      </c>
      <c r="Y26" s="20">
        <v>2.6</v>
      </c>
      <c r="AB26" s="20">
        <v>2</v>
      </c>
      <c r="AC26" s="20">
        <v>16</v>
      </c>
      <c r="AD26" s="20">
        <f t="shared" ref="AD26:AD29" si="8">S26-$O$26</f>
        <v>0.27</v>
      </c>
      <c r="AE26" s="20">
        <f t="shared" ref="AE26:AE29" si="9">T26</f>
        <v>0.3</v>
      </c>
      <c r="AF26" s="20">
        <f t="shared" ref="AF26:AF29" si="10">U26</f>
        <v>3.7250000000000001</v>
      </c>
      <c r="AG26" s="23">
        <f t="shared" ref="AG26:AG29" si="11">AF26*AE26*AD26*AC26</f>
        <v>4.8276000000000003</v>
      </c>
      <c r="AH26" s="23">
        <f t="shared" ref="AH26:AH29" si="12">((AF26*AE26*2)+(AF26*AD26*2))*AC26</f>
        <v>67.944000000000003</v>
      </c>
    </row>
    <row r="27" spans="1:34" ht="14.5" customHeight="1" x14ac:dyDescent="0.35">
      <c r="B27" s="100" t="s">
        <v>6</v>
      </c>
      <c r="C27" s="100" t="s">
        <v>4</v>
      </c>
      <c r="D27" s="100" t="s">
        <v>5</v>
      </c>
      <c r="E27" s="100" t="s">
        <v>9</v>
      </c>
      <c r="F27" s="100" t="s">
        <v>1</v>
      </c>
      <c r="G27" s="100" t="s">
        <v>2</v>
      </c>
      <c r="H27" s="100" t="s">
        <v>7</v>
      </c>
      <c r="I27" s="100" t="s">
        <v>8</v>
      </c>
      <c r="J27" s="100" t="s">
        <v>206</v>
      </c>
      <c r="K27" s="100" t="s">
        <v>207</v>
      </c>
      <c r="L27" s="100" t="s">
        <v>16</v>
      </c>
      <c r="M27" s="101" t="s">
        <v>15</v>
      </c>
      <c r="N27" s="102" t="s">
        <v>194</v>
      </c>
      <c r="Q27" s="20">
        <v>3</v>
      </c>
      <c r="R27" s="20">
        <v>16</v>
      </c>
      <c r="S27" s="20">
        <v>0.3</v>
      </c>
      <c r="T27" s="20">
        <v>0.3</v>
      </c>
      <c r="U27" s="20">
        <v>3.7250000000000001</v>
      </c>
      <c r="V27" s="20">
        <f t="shared" si="5"/>
        <v>4.0750000000000002</v>
      </c>
      <c r="W27" s="23">
        <f t="shared" si="6"/>
        <v>5.3639999999999999</v>
      </c>
      <c r="X27" s="23">
        <f t="shared" si="7"/>
        <v>71.52</v>
      </c>
      <c r="Y27" s="20">
        <v>1.7</v>
      </c>
      <c r="AB27" s="20">
        <v>3</v>
      </c>
      <c r="AC27" s="20">
        <v>16</v>
      </c>
      <c r="AD27" s="20">
        <f t="shared" si="8"/>
        <v>0.27</v>
      </c>
      <c r="AE27" s="20">
        <f t="shared" si="9"/>
        <v>0.3</v>
      </c>
      <c r="AF27" s="20">
        <f t="shared" si="10"/>
        <v>3.7250000000000001</v>
      </c>
      <c r="AG27" s="23">
        <f t="shared" si="11"/>
        <v>4.8276000000000003</v>
      </c>
      <c r="AH27" s="23">
        <f t="shared" si="12"/>
        <v>67.944000000000003</v>
      </c>
    </row>
    <row r="28" spans="1:34" x14ac:dyDescent="0.35">
      <c r="B28" s="100"/>
      <c r="C28" s="100"/>
      <c r="D28" s="100"/>
      <c r="E28" s="100"/>
      <c r="F28" s="100"/>
      <c r="G28" s="100"/>
      <c r="H28" s="100"/>
      <c r="I28" s="100"/>
      <c r="J28" s="100"/>
      <c r="K28" s="100"/>
      <c r="L28" s="100"/>
      <c r="M28" s="101"/>
      <c r="N28" s="102"/>
      <c r="Q28" s="20">
        <v>4</v>
      </c>
      <c r="R28" s="20">
        <v>16</v>
      </c>
      <c r="S28" s="20">
        <v>0.3</v>
      </c>
      <c r="T28" s="20">
        <v>0.3</v>
      </c>
      <c r="U28" s="20">
        <v>3.7250000000000001</v>
      </c>
      <c r="V28" s="20">
        <f t="shared" si="5"/>
        <v>4.0750000000000002</v>
      </c>
      <c r="W28" s="23">
        <f t="shared" si="6"/>
        <v>5.3639999999999999</v>
      </c>
      <c r="X28" s="23">
        <f t="shared" si="7"/>
        <v>71.52</v>
      </c>
      <c r="Y28" s="20">
        <v>0.6</v>
      </c>
      <c r="AB28" s="20">
        <v>4</v>
      </c>
      <c r="AC28" s="20">
        <v>16</v>
      </c>
      <c r="AD28" s="20">
        <f t="shared" si="8"/>
        <v>0.27</v>
      </c>
      <c r="AE28" s="20">
        <f t="shared" si="9"/>
        <v>0.3</v>
      </c>
      <c r="AF28" s="20">
        <f t="shared" si="10"/>
        <v>3.7250000000000001</v>
      </c>
      <c r="AG28" s="23">
        <f t="shared" si="11"/>
        <v>4.8276000000000003</v>
      </c>
      <c r="AH28" s="23">
        <f t="shared" si="12"/>
        <v>67.944000000000003</v>
      </c>
    </row>
    <row r="29" spans="1:34" x14ac:dyDescent="0.35">
      <c r="A29" s="15" t="s">
        <v>29</v>
      </c>
      <c r="B29" s="64">
        <v>60</v>
      </c>
      <c r="C29" s="15">
        <v>20</v>
      </c>
      <c r="D29" s="15">
        <v>40</v>
      </c>
      <c r="E29" s="15">
        <v>7.5</v>
      </c>
      <c r="F29" s="15">
        <v>0.35</v>
      </c>
      <c r="G29" s="15">
        <v>0.3</v>
      </c>
      <c r="H29" s="15">
        <f>E29-(G29/2)</f>
        <v>7.35</v>
      </c>
      <c r="I29" s="15">
        <f>E29</f>
        <v>7.5</v>
      </c>
      <c r="J29" s="17">
        <f>(H29*(F29-$C$7)*G29*C29)+(I29*(F29-$C$7)*G29*D29)</f>
        <v>26.149499999999996</v>
      </c>
      <c r="K29" s="17">
        <f>B29*E29*F29*G29</f>
        <v>47.25</v>
      </c>
      <c r="L29" s="15">
        <v>248</v>
      </c>
      <c r="M29" s="17">
        <f>(K29*L29)/1000</f>
        <v>11.718</v>
      </c>
      <c r="N29" s="16">
        <f>(H29*2*(F29-$C$7)*C29)+(I29*2*(F29-$C$7)*D29)</f>
        <v>174.32999999999998</v>
      </c>
      <c r="Q29" s="20">
        <v>5</v>
      </c>
      <c r="R29" s="20">
        <v>16</v>
      </c>
      <c r="S29" s="20">
        <v>0.3</v>
      </c>
      <c r="T29" s="20">
        <v>0.3</v>
      </c>
      <c r="U29" s="20">
        <v>3.7250000000000001</v>
      </c>
      <c r="V29" s="20">
        <f t="shared" si="5"/>
        <v>4.0750000000000002</v>
      </c>
      <c r="W29" s="23">
        <f t="shared" si="6"/>
        <v>5.3639999999999999</v>
      </c>
      <c r="X29" s="23">
        <f t="shared" si="7"/>
        <v>71.52</v>
      </c>
      <c r="Y29" s="20">
        <v>0.6</v>
      </c>
      <c r="AB29" s="20">
        <v>5</v>
      </c>
      <c r="AC29" s="20">
        <v>16</v>
      </c>
      <c r="AD29" s="20">
        <f t="shared" si="8"/>
        <v>0.27</v>
      </c>
      <c r="AE29" s="20">
        <f t="shared" si="9"/>
        <v>0.3</v>
      </c>
      <c r="AF29" s="20">
        <f t="shared" si="10"/>
        <v>3.7250000000000001</v>
      </c>
      <c r="AG29" s="23">
        <f t="shared" si="11"/>
        <v>4.8276000000000003</v>
      </c>
      <c r="AH29" s="23">
        <f t="shared" si="12"/>
        <v>67.944000000000003</v>
      </c>
    </row>
    <row r="30" spans="1:34" x14ac:dyDescent="0.35">
      <c r="A30" s="15" t="s">
        <v>28</v>
      </c>
      <c r="B30" s="64">
        <v>60</v>
      </c>
      <c r="C30" s="15">
        <v>20</v>
      </c>
      <c r="D30" s="15">
        <v>40</v>
      </c>
      <c r="E30" s="15">
        <v>7.5</v>
      </c>
      <c r="F30" s="15">
        <f>F29-$O$26</f>
        <v>0.31999999999999995</v>
      </c>
      <c r="G30" s="15">
        <f>G29</f>
        <v>0.3</v>
      </c>
      <c r="H30" s="15">
        <f>H29</f>
        <v>7.35</v>
      </c>
      <c r="I30" s="15">
        <f>I29</f>
        <v>7.5</v>
      </c>
      <c r="J30" s="17">
        <f>(H30*(F30-$C$7)*G30*C30)+(I30*(F30-$C$7)*G30*D30)</f>
        <v>22.126499999999993</v>
      </c>
      <c r="K30" s="15"/>
      <c r="L30" s="15"/>
      <c r="M30" s="15"/>
      <c r="N30" s="16">
        <f>(H30*2*(F30-$C$7)*C30)+(I30*2*(F30-$C$7)*D30)</f>
        <v>147.50999999999996</v>
      </c>
      <c r="Q30" s="31"/>
      <c r="R30" s="31"/>
      <c r="S30" s="31"/>
      <c r="T30" s="31"/>
      <c r="U30" s="31" t="s">
        <v>195</v>
      </c>
      <c r="V30" s="31"/>
      <c r="W30" s="67">
        <f>SUM(W25:W29)</f>
        <v>26.82</v>
      </c>
      <c r="X30" s="30">
        <f>SUM(X25:X29)</f>
        <v>357.59999999999997</v>
      </c>
      <c r="Y30" s="30">
        <f>SUM(Y25:Y29)</f>
        <v>10.099999999999998</v>
      </c>
      <c r="Z30" s="87"/>
      <c r="AB30" s="20"/>
      <c r="AC30" s="20"/>
      <c r="AD30" s="20"/>
      <c r="AE30" s="20"/>
      <c r="AF30" s="20"/>
      <c r="AG30" s="69">
        <f>SUM(AG25:AG29)</f>
        <v>24.138000000000002</v>
      </c>
      <c r="AH30" s="23">
        <f>SUM(AH25:AH29)</f>
        <v>339.72</v>
      </c>
    </row>
    <row r="31" spans="1:34" x14ac:dyDescent="0.35">
      <c r="A31" s="63" t="s">
        <v>30</v>
      </c>
      <c r="B31" s="59"/>
      <c r="C31" s="59"/>
      <c r="D31" s="59"/>
      <c r="E31" s="59"/>
      <c r="F31" s="59"/>
      <c r="G31" s="59"/>
      <c r="H31" s="59"/>
      <c r="I31" s="59"/>
      <c r="J31" s="61">
        <f>J29-J30</f>
        <v>4.0230000000000032</v>
      </c>
      <c r="K31" s="59"/>
      <c r="L31" s="59"/>
      <c r="M31" s="59"/>
      <c r="N31" s="60">
        <f>N29-N30</f>
        <v>26.820000000000022</v>
      </c>
      <c r="AE31" s="106" t="s">
        <v>30</v>
      </c>
      <c r="AF31" s="106"/>
      <c r="AG31" s="68">
        <f>W30-AG30</f>
        <v>2.6819999999999986</v>
      </c>
      <c r="AH31" s="68">
        <f>X30-AH30</f>
        <v>17.879999999999939</v>
      </c>
    </row>
    <row r="32" spans="1:34" x14ac:dyDescent="0.35">
      <c r="Q32" s="98" t="s">
        <v>36</v>
      </c>
      <c r="R32" s="98"/>
      <c r="S32" s="98"/>
      <c r="T32" s="98"/>
      <c r="U32" s="98"/>
      <c r="V32" s="98"/>
      <c r="W32" s="98"/>
      <c r="X32" s="98"/>
      <c r="Y32" s="98"/>
      <c r="Z32" s="85"/>
      <c r="AB32" s="98" t="s">
        <v>38</v>
      </c>
      <c r="AC32" s="98"/>
      <c r="AD32" s="98"/>
      <c r="AE32" s="98"/>
      <c r="AF32" s="98"/>
      <c r="AG32" s="98"/>
    </row>
    <row r="33" spans="1:34" ht="14.5" customHeight="1" x14ac:dyDescent="0.35">
      <c r="B33" s="98" t="s">
        <v>12</v>
      </c>
      <c r="C33" s="98"/>
      <c r="D33" s="98"/>
      <c r="E33" s="98"/>
      <c r="F33" s="98"/>
      <c r="G33" s="98"/>
      <c r="H33" s="98"/>
      <c r="N33" s="59" t="s">
        <v>216</v>
      </c>
      <c r="O33" s="59">
        <v>0.03</v>
      </c>
      <c r="Q33" s="100" t="s">
        <v>21</v>
      </c>
      <c r="R33" s="100" t="s">
        <v>22</v>
      </c>
      <c r="S33" s="100" t="s">
        <v>1</v>
      </c>
      <c r="T33" s="100" t="s">
        <v>2</v>
      </c>
      <c r="U33" s="100" t="s">
        <v>23</v>
      </c>
      <c r="V33" s="100" t="s">
        <v>24</v>
      </c>
      <c r="W33" s="100" t="s">
        <v>196</v>
      </c>
      <c r="X33" s="100" t="s">
        <v>194</v>
      </c>
      <c r="Y33" s="101" t="s">
        <v>15</v>
      </c>
      <c r="Z33" s="86"/>
      <c r="AB33" s="100" t="s">
        <v>21</v>
      </c>
      <c r="AC33" s="100" t="s">
        <v>22</v>
      </c>
      <c r="AD33" s="100" t="s">
        <v>1</v>
      </c>
      <c r="AE33" s="100" t="s">
        <v>2</v>
      </c>
      <c r="AF33" s="100" t="s">
        <v>23</v>
      </c>
      <c r="AG33" s="100" t="s">
        <v>196</v>
      </c>
      <c r="AH33" s="100" t="s">
        <v>194</v>
      </c>
    </row>
    <row r="34" spans="1:34" ht="14.5" customHeight="1" x14ac:dyDescent="0.35">
      <c r="B34" s="100" t="s">
        <v>6</v>
      </c>
      <c r="C34" s="100" t="s">
        <v>4</v>
      </c>
      <c r="D34" s="100" t="s">
        <v>5</v>
      </c>
      <c r="E34" s="100" t="s">
        <v>9</v>
      </c>
      <c r="F34" s="100" t="s">
        <v>1</v>
      </c>
      <c r="G34" s="100" t="s">
        <v>2</v>
      </c>
      <c r="H34" s="100" t="s">
        <v>7</v>
      </c>
      <c r="I34" s="100" t="s">
        <v>8</v>
      </c>
      <c r="J34" s="100" t="s">
        <v>206</v>
      </c>
      <c r="K34" s="100" t="s">
        <v>207</v>
      </c>
      <c r="L34" s="100" t="s">
        <v>16</v>
      </c>
      <c r="M34" s="101" t="s">
        <v>15</v>
      </c>
      <c r="N34" s="102" t="s">
        <v>194</v>
      </c>
      <c r="Q34" s="100"/>
      <c r="R34" s="100"/>
      <c r="S34" s="100"/>
      <c r="T34" s="100"/>
      <c r="U34" s="100"/>
      <c r="V34" s="100"/>
      <c r="W34" s="100"/>
      <c r="X34" s="100"/>
      <c r="Y34" s="101"/>
      <c r="Z34" s="86"/>
      <c r="AB34" s="100"/>
      <c r="AC34" s="100"/>
      <c r="AD34" s="100"/>
      <c r="AE34" s="100"/>
      <c r="AF34" s="100"/>
      <c r="AG34" s="100"/>
      <c r="AH34" s="100"/>
    </row>
    <row r="35" spans="1:34" x14ac:dyDescent="0.35">
      <c r="B35" s="100"/>
      <c r="C35" s="100"/>
      <c r="D35" s="100"/>
      <c r="E35" s="100"/>
      <c r="F35" s="100"/>
      <c r="G35" s="100"/>
      <c r="H35" s="100"/>
      <c r="I35" s="100"/>
      <c r="J35" s="100"/>
      <c r="K35" s="100"/>
      <c r="L35" s="100"/>
      <c r="M35" s="101"/>
      <c r="N35" s="102"/>
      <c r="Q35" s="20">
        <v>1</v>
      </c>
      <c r="R35" s="20">
        <v>4</v>
      </c>
      <c r="S35" s="20">
        <v>0.3</v>
      </c>
      <c r="T35" s="20">
        <v>0.3</v>
      </c>
      <c r="U35" s="20">
        <v>3.7250000000000001</v>
      </c>
      <c r="V35" s="20">
        <f>U35+$F$29</f>
        <v>4.0750000000000002</v>
      </c>
      <c r="W35" s="23">
        <f>U35*T35*S35*R35</f>
        <v>1.341</v>
      </c>
      <c r="X35" s="23">
        <f>((U35*T35*2)+(U35*S35*2))*R35</f>
        <v>17.88</v>
      </c>
      <c r="Y35" s="20">
        <v>0.4</v>
      </c>
      <c r="AB35" s="20">
        <v>1</v>
      </c>
      <c r="AC35" s="20">
        <v>4</v>
      </c>
      <c r="AD35" s="20">
        <f>S35-$O$33</f>
        <v>0.27</v>
      </c>
      <c r="AE35" s="20">
        <f>T35-$O$33</f>
        <v>0.27</v>
      </c>
      <c r="AF35" s="20">
        <f>U35</f>
        <v>3.7250000000000001</v>
      </c>
      <c r="AG35" s="23">
        <f>AF35*AE35*AD35*AC35</f>
        <v>1.0862100000000001</v>
      </c>
      <c r="AH35" s="23">
        <f>((AF35*AE35*2)+(AF35*AD35*2))*AC35</f>
        <v>16.092000000000002</v>
      </c>
    </row>
    <row r="36" spans="1:34" x14ac:dyDescent="0.35">
      <c r="A36" s="15" t="s">
        <v>29</v>
      </c>
      <c r="B36" s="15">
        <v>40</v>
      </c>
      <c r="C36" s="15">
        <v>20</v>
      </c>
      <c r="D36" s="15">
        <v>20</v>
      </c>
      <c r="E36" s="15">
        <v>7.5</v>
      </c>
      <c r="F36" s="15">
        <v>0.35</v>
      </c>
      <c r="G36" s="15">
        <v>0.3</v>
      </c>
      <c r="H36" s="15">
        <f>E36+(G36/2)</f>
        <v>7.65</v>
      </c>
      <c r="I36" s="15">
        <f>E36</f>
        <v>7.5</v>
      </c>
      <c r="J36" s="17">
        <f>(H36*(F36-$C$7)*G36*C36)+(I36*(F36-$C$7)*G36*D36)</f>
        <v>17.725499999999997</v>
      </c>
      <c r="K36" s="17">
        <f>B36*E36*F36*G36</f>
        <v>31.5</v>
      </c>
      <c r="L36" s="15">
        <v>248</v>
      </c>
      <c r="M36" s="17">
        <f>(K36*L36)/1000</f>
        <v>7.8120000000000003</v>
      </c>
      <c r="N36" s="16">
        <f>(H36*2*(F36-$C$7)*C36)+(I36*2*(F36-$C$7)*D36)</f>
        <v>118.16999999999999</v>
      </c>
      <c r="Q36" s="20">
        <v>2</v>
      </c>
      <c r="R36" s="20">
        <v>4</v>
      </c>
      <c r="S36" s="20">
        <v>0.3</v>
      </c>
      <c r="T36" s="20">
        <v>0.3</v>
      </c>
      <c r="U36" s="20">
        <v>3.7250000000000001</v>
      </c>
      <c r="V36" s="20">
        <f t="shared" ref="V36:V39" si="13">U36+$F$29</f>
        <v>4.0750000000000002</v>
      </c>
      <c r="W36" s="23">
        <f t="shared" ref="W36:W39" si="14">U36*T36*S36*R36</f>
        <v>1.341</v>
      </c>
      <c r="X36" s="23">
        <f t="shared" ref="X36:X39" si="15">((U36*T36*2)+(U36*S36*2))*R36</f>
        <v>17.88</v>
      </c>
      <c r="Y36" s="20">
        <v>0.3</v>
      </c>
      <c r="AB36" s="20">
        <v>2</v>
      </c>
      <c r="AC36" s="20">
        <v>4</v>
      </c>
      <c r="AD36" s="20">
        <f t="shared" ref="AD36:AD39" si="16">S36-$O$33</f>
        <v>0.27</v>
      </c>
      <c r="AE36" s="20">
        <f t="shared" ref="AE36:AE39" si="17">T36-$O$33</f>
        <v>0.27</v>
      </c>
      <c r="AF36" s="20">
        <f t="shared" ref="AF36:AF39" si="18">U36</f>
        <v>3.7250000000000001</v>
      </c>
      <c r="AG36" s="23">
        <f t="shared" ref="AG36:AG39" si="19">AF36*AE36*AD36*AC36</f>
        <v>1.0862100000000001</v>
      </c>
      <c r="AH36" s="23">
        <f t="shared" ref="AH36:AH39" si="20">((AF36*AE36*2)+(AF36*AD36*2))*AC36</f>
        <v>16.092000000000002</v>
      </c>
    </row>
    <row r="37" spans="1:34" x14ac:dyDescent="0.35">
      <c r="A37" s="15" t="s">
        <v>28</v>
      </c>
      <c r="B37" s="15">
        <v>40</v>
      </c>
      <c r="C37" s="15">
        <v>20</v>
      </c>
      <c r="D37" s="15">
        <v>20</v>
      </c>
      <c r="E37" s="15">
        <v>7.5</v>
      </c>
      <c r="F37" s="15">
        <f>F36-$O$33</f>
        <v>0.31999999999999995</v>
      </c>
      <c r="G37" s="15">
        <f>G36</f>
        <v>0.3</v>
      </c>
      <c r="H37" s="15">
        <f>H36-$O$33</f>
        <v>7.62</v>
      </c>
      <c r="I37" s="15">
        <f>I36</f>
        <v>7.5</v>
      </c>
      <c r="J37" s="17">
        <f>(H37*(F37-$C$7)*G37*C37)+(I37*(F37-$C$7)*G37*D37)</f>
        <v>14.968799999999995</v>
      </c>
      <c r="K37" s="15"/>
      <c r="L37" s="15"/>
      <c r="M37" s="15"/>
      <c r="N37" s="16">
        <f>(H37*2*(F37-$C$7)*C37)+(I37*2*(F37-$C$7)*D37)</f>
        <v>99.791999999999973</v>
      </c>
      <c r="Q37" s="20">
        <v>3</v>
      </c>
      <c r="R37" s="20">
        <v>4</v>
      </c>
      <c r="S37" s="20">
        <v>0.3</v>
      </c>
      <c r="T37" s="20">
        <v>0.3</v>
      </c>
      <c r="U37" s="20">
        <v>3.7250000000000001</v>
      </c>
      <c r="V37" s="20">
        <f t="shared" si="13"/>
        <v>4.0750000000000002</v>
      </c>
      <c r="W37" s="23">
        <f t="shared" si="14"/>
        <v>1.341</v>
      </c>
      <c r="X37" s="23">
        <f t="shared" si="15"/>
        <v>17.88</v>
      </c>
      <c r="Y37" s="20">
        <v>0.2</v>
      </c>
      <c r="AB37" s="20">
        <v>3</v>
      </c>
      <c r="AC37" s="20">
        <v>4</v>
      </c>
      <c r="AD37" s="20">
        <f t="shared" si="16"/>
        <v>0.27</v>
      </c>
      <c r="AE37" s="20">
        <f t="shared" si="17"/>
        <v>0.27</v>
      </c>
      <c r="AF37" s="20">
        <f t="shared" si="18"/>
        <v>3.7250000000000001</v>
      </c>
      <c r="AG37" s="23">
        <f t="shared" si="19"/>
        <v>1.0862100000000001</v>
      </c>
      <c r="AH37" s="23">
        <f t="shared" si="20"/>
        <v>16.092000000000002</v>
      </c>
    </row>
    <row r="38" spans="1:34" x14ac:dyDescent="0.35">
      <c r="A38" s="63" t="s">
        <v>30</v>
      </c>
      <c r="B38" s="63"/>
      <c r="C38" s="63"/>
      <c r="D38" s="63"/>
      <c r="E38" s="63"/>
      <c r="F38" s="63"/>
      <c r="G38" s="63"/>
      <c r="H38" s="63"/>
      <c r="I38" s="63"/>
      <c r="J38" s="65">
        <f>J36-J37</f>
        <v>2.7567000000000021</v>
      </c>
      <c r="K38" s="63"/>
      <c r="L38" s="63"/>
      <c r="M38" s="63"/>
      <c r="N38" s="62">
        <f>N36-N37</f>
        <v>18.378000000000014</v>
      </c>
      <c r="Q38" s="20">
        <v>4</v>
      </c>
      <c r="R38" s="20">
        <v>4</v>
      </c>
      <c r="S38" s="20">
        <v>0.3</v>
      </c>
      <c r="T38" s="20">
        <v>0.3</v>
      </c>
      <c r="U38" s="20">
        <v>3.7250000000000001</v>
      </c>
      <c r="V38" s="20">
        <f t="shared" si="13"/>
        <v>4.0750000000000002</v>
      </c>
      <c r="W38" s="23">
        <f t="shared" si="14"/>
        <v>1.341</v>
      </c>
      <c r="X38" s="23">
        <f t="shared" si="15"/>
        <v>17.88</v>
      </c>
      <c r="Y38" s="20">
        <v>0.1</v>
      </c>
      <c r="AB38" s="20">
        <v>4</v>
      </c>
      <c r="AC38" s="20">
        <v>4</v>
      </c>
      <c r="AD38" s="20">
        <f t="shared" si="16"/>
        <v>0.27</v>
      </c>
      <c r="AE38" s="20">
        <f t="shared" si="17"/>
        <v>0.27</v>
      </c>
      <c r="AF38" s="20">
        <f t="shared" si="18"/>
        <v>3.7250000000000001</v>
      </c>
      <c r="AG38" s="23">
        <f t="shared" si="19"/>
        <v>1.0862100000000001</v>
      </c>
      <c r="AH38" s="23">
        <f t="shared" si="20"/>
        <v>16.092000000000002</v>
      </c>
    </row>
    <row r="39" spans="1:34" x14ac:dyDescent="0.35">
      <c r="Q39" s="20">
        <v>5</v>
      </c>
      <c r="R39" s="20">
        <v>4</v>
      </c>
      <c r="S39" s="20">
        <v>0.3</v>
      </c>
      <c r="T39" s="20">
        <v>0.3</v>
      </c>
      <c r="U39" s="20">
        <v>3.7250000000000001</v>
      </c>
      <c r="V39" s="20">
        <f t="shared" si="13"/>
        <v>4.0750000000000002</v>
      </c>
      <c r="W39" s="23">
        <f t="shared" si="14"/>
        <v>1.341</v>
      </c>
      <c r="X39" s="23">
        <f t="shared" si="15"/>
        <v>17.88</v>
      </c>
      <c r="Y39" s="20">
        <v>0.2</v>
      </c>
      <c r="AB39" s="20">
        <v>5</v>
      </c>
      <c r="AC39" s="20">
        <v>4</v>
      </c>
      <c r="AD39" s="20">
        <f t="shared" si="16"/>
        <v>0.27</v>
      </c>
      <c r="AE39" s="20">
        <f t="shared" si="17"/>
        <v>0.27</v>
      </c>
      <c r="AF39" s="20">
        <f t="shared" si="18"/>
        <v>3.7250000000000001</v>
      </c>
      <c r="AG39" s="23">
        <f t="shared" si="19"/>
        <v>1.0862100000000001</v>
      </c>
      <c r="AH39" s="23">
        <f t="shared" si="20"/>
        <v>16.092000000000002</v>
      </c>
    </row>
    <row r="40" spans="1:34" x14ac:dyDescent="0.35">
      <c r="Q40" s="31"/>
      <c r="R40" s="31"/>
      <c r="S40" s="31"/>
      <c r="T40" s="31"/>
      <c r="U40" s="31" t="s">
        <v>195</v>
      </c>
      <c r="V40" s="31"/>
      <c r="W40" s="67">
        <f>SUM(W35:W39)</f>
        <v>6.7050000000000001</v>
      </c>
      <c r="X40" s="30">
        <f>SUM(X35:X39)</f>
        <v>89.399999999999991</v>
      </c>
      <c r="Y40" s="30">
        <f>SUM(Y35:Y39)</f>
        <v>1.2</v>
      </c>
      <c r="Z40" s="87"/>
      <c r="AB40" s="20"/>
      <c r="AC40" s="20"/>
      <c r="AD40" s="20"/>
      <c r="AE40" s="20"/>
      <c r="AF40" s="20"/>
      <c r="AG40" s="69">
        <f>SUM(AG35:AG39)</f>
        <v>5.4310500000000008</v>
      </c>
      <c r="AH40" s="23">
        <f>SUM(AH35:AH39)</f>
        <v>80.460000000000008</v>
      </c>
    </row>
    <row r="41" spans="1:34" x14ac:dyDescent="0.35">
      <c r="B41" s="105" t="s">
        <v>32</v>
      </c>
      <c r="C41" s="105"/>
      <c r="D41" s="105"/>
      <c r="E41" s="105"/>
      <c r="F41" s="105"/>
      <c r="G41" s="105"/>
      <c r="H41" s="105"/>
      <c r="I41" s="105"/>
      <c r="J41" s="105"/>
      <c r="K41" s="105"/>
      <c r="L41" s="105"/>
      <c r="M41" s="105"/>
      <c r="N41" s="105"/>
      <c r="O41" s="105"/>
      <c r="P41" s="105"/>
      <c r="AE41" s="106" t="s">
        <v>30</v>
      </c>
      <c r="AF41" s="106"/>
      <c r="AG41" s="68">
        <f>W40-AG40</f>
        <v>1.2739499999999992</v>
      </c>
      <c r="AH41" s="68">
        <f>X40-AH40</f>
        <v>8.9399999999999835</v>
      </c>
    </row>
    <row r="42" spans="1:34" x14ac:dyDescent="0.35">
      <c r="B42" s="105"/>
      <c r="C42" s="105"/>
      <c r="D42" s="105"/>
      <c r="E42" s="105"/>
      <c r="F42" s="105"/>
      <c r="G42" s="105"/>
      <c r="H42" s="105"/>
      <c r="I42" s="105"/>
      <c r="J42" s="105"/>
      <c r="K42" s="105"/>
      <c r="L42" s="105"/>
      <c r="M42" s="105"/>
      <c r="N42" s="105"/>
      <c r="O42" s="105"/>
      <c r="P42" s="105"/>
    </row>
    <row r="43" spans="1:34" x14ac:dyDescent="0.35">
      <c r="B43" s="105"/>
      <c r="C43" s="105"/>
      <c r="D43" s="105"/>
      <c r="E43" s="105"/>
      <c r="F43" s="105"/>
      <c r="G43" s="105"/>
      <c r="H43" s="105"/>
      <c r="I43" s="105"/>
      <c r="J43" s="105"/>
      <c r="K43" s="105"/>
      <c r="L43" s="105"/>
      <c r="M43" s="105"/>
      <c r="N43" s="105"/>
      <c r="O43" s="105"/>
      <c r="P43" s="105"/>
    </row>
    <row r="45" spans="1:34" ht="14.5" customHeight="1" x14ac:dyDescent="0.35">
      <c r="B45" s="105" t="s">
        <v>200</v>
      </c>
      <c r="C45" s="105"/>
      <c r="D45" s="105"/>
      <c r="E45" s="105"/>
      <c r="F45" s="105"/>
      <c r="G45" s="105"/>
      <c r="H45" s="105"/>
      <c r="I45" s="105"/>
      <c r="J45" s="105"/>
      <c r="K45" s="105"/>
      <c r="L45" s="105"/>
      <c r="M45" s="105"/>
      <c r="N45" s="105"/>
      <c r="O45" s="88"/>
      <c r="P45" s="88"/>
    </row>
    <row r="46" spans="1:34" x14ac:dyDescent="0.35">
      <c r="B46" s="105"/>
      <c r="C46" s="105"/>
      <c r="D46" s="105"/>
      <c r="E46" s="105"/>
      <c r="F46" s="105"/>
      <c r="G46" s="105"/>
      <c r="H46" s="105"/>
      <c r="I46" s="105"/>
      <c r="J46" s="105"/>
      <c r="K46" s="105"/>
      <c r="L46" s="105"/>
      <c r="M46" s="105"/>
      <c r="N46" s="105"/>
      <c r="O46" s="88"/>
      <c r="P46" s="88"/>
    </row>
    <row r="47" spans="1:34" x14ac:dyDescent="0.35">
      <c r="B47" s="105"/>
      <c r="C47" s="105"/>
      <c r="D47" s="105"/>
      <c r="E47" s="105"/>
      <c r="F47" s="105"/>
      <c r="G47" s="105"/>
      <c r="H47" s="105"/>
      <c r="I47" s="105"/>
      <c r="J47" s="105"/>
      <c r="K47" s="105"/>
      <c r="L47" s="105"/>
      <c r="M47" s="105"/>
      <c r="N47" s="105"/>
      <c r="O47" s="88"/>
      <c r="P47" s="88"/>
    </row>
    <row r="48" spans="1:34" x14ac:dyDescent="0.35">
      <c r="B48" s="105"/>
      <c r="C48" s="105"/>
      <c r="D48" s="105"/>
      <c r="E48" s="105"/>
      <c r="F48" s="105"/>
      <c r="G48" s="105"/>
      <c r="H48" s="105"/>
      <c r="I48" s="105"/>
      <c r="J48" s="105"/>
      <c r="K48" s="105"/>
      <c r="L48" s="105"/>
      <c r="M48" s="105"/>
      <c r="N48" s="105"/>
    </row>
    <row r="49" spans="2:14" x14ac:dyDescent="0.35">
      <c r="B49" s="105"/>
      <c r="C49" s="105"/>
      <c r="D49" s="105"/>
      <c r="E49" s="105"/>
      <c r="F49" s="105"/>
      <c r="G49" s="105"/>
      <c r="H49" s="105"/>
      <c r="I49" s="105"/>
      <c r="J49" s="105"/>
      <c r="K49" s="105"/>
      <c r="L49" s="105"/>
      <c r="M49" s="105"/>
      <c r="N49" s="105"/>
    </row>
    <row r="50" spans="2:14" x14ac:dyDescent="0.35">
      <c r="B50" s="105"/>
      <c r="C50" s="105"/>
      <c r="D50" s="105"/>
      <c r="E50" s="105"/>
      <c r="F50" s="105"/>
      <c r="G50" s="105"/>
      <c r="H50" s="105"/>
      <c r="I50" s="105"/>
      <c r="J50" s="105"/>
      <c r="K50" s="105"/>
      <c r="L50" s="105"/>
      <c r="M50" s="105"/>
      <c r="N50" s="105"/>
    </row>
    <row r="51" spans="2:14" x14ac:dyDescent="0.35">
      <c r="B51" s="99"/>
      <c r="C51" s="99"/>
      <c r="D51" s="99"/>
      <c r="E51" s="99"/>
      <c r="F51" s="99"/>
      <c r="G51" s="99"/>
      <c r="H51" s="99"/>
      <c r="I51" s="99"/>
      <c r="J51" s="99"/>
      <c r="K51" s="99"/>
      <c r="L51" s="99"/>
      <c r="M51" s="99"/>
      <c r="N51" s="99"/>
    </row>
    <row r="52" spans="2:14" x14ac:dyDescent="0.35">
      <c r="B52" s="99"/>
      <c r="C52" s="99"/>
      <c r="D52" s="99"/>
      <c r="E52" s="99"/>
      <c r="F52" s="99"/>
      <c r="G52" s="99"/>
      <c r="H52" s="99"/>
      <c r="I52" s="99"/>
      <c r="J52" s="99"/>
      <c r="K52" s="99"/>
      <c r="L52" s="99"/>
      <c r="M52" s="99"/>
      <c r="N52" s="99"/>
    </row>
    <row r="53" spans="2:14" x14ac:dyDescent="0.35">
      <c r="B53" s="99"/>
      <c r="C53" s="99"/>
      <c r="D53" s="99"/>
      <c r="E53" s="99"/>
      <c r="F53" s="99"/>
      <c r="G53" s="99"/>
      <c r="H53" s="99"/>
      <c r="I53" s="99"/>
      <c r="J53" s="99"/>
      <c r="K53" s="99"/>
      <c r="L53" s="99"/>
      <c r="M53" s="99"/>
      <c r="N53" s="99"/>
    </row>
    <row r="54" spans="2:14" x14ac:dyDescent="0.35">
      <c r="B54" s="99"/>
      <c r="C54" s="99"/>
      <c r="D54" s="99"/>
      <c r="E54" s="99"/>
      <c r="F54" s="99"/>
      <c r="G54" s="99"/>
      <c r="H54" s="99"/>
      <c r="I54" s="99"/>
      <c r="J54" s="99"/>
      <c r="K54" s="99"/>
      <c r="L54" s="99"/>
      <c r="M54" s="99"/>
      <c r="N54" s="99"/>
    </row>
    <row r="55" spans="2:14" x14ac:dyDescent="0.35">
      <c r="B55" s="99"/>
      <c r="C55" s="99"/>
      <c r="D55" s="99"/>
      <c r="E55" s="99"/>
      <c r="F55" s="99"/>
      <c r="G55" s="99"/>
      <c r="H55" s="99"/>
      <c r="I55" s="99"/>
      <c r="J55" s="99"/>
      <c r="K55" s="99"/>
      <c r="L55" s="99"/>
      <c r="M55" s="99"/>
      <c r="N55" s="99"/>
    </row>
    <row r="56" spans="2:14" x14ac:dyDescent="0.35">
      <c r="B56" s="99"/>
      <c r="C56" s="99"/>
      <c r="D56" s="99"/>
      <c r="E56" s="99"/>
      <c r="F56" s="99"/>
      <c r="G56" s="99"/>
      <c r="H56" s="99"/>
      <c r="I56" s="99"/>
      <c r="J56" s="99"/>
      <c r="K56" s="99"/>
      <c r="L56" s="99"/>
      <c r="M56" s="99"/>
      <c r="N56" s="99"/>
    </row>
  </sheetData>
  <mergeCells count="127">
    <mergeCell ref="B51:N53"/>
    <mergeCell ref="B54:N56"/>
    <mergeCell ref="B45:N50"/>
    <mergeCell ref="AH13:AH14"/>
    <mergeCell ref="AH23:AH24"/>
    <mergeCell ref="AH33:AH34"/>
    <mergeCell ref="AE41:AF41"/>
    <mergeCell ref="AE31:AF31"/>
    <mergeCell ref="AB32:AG32"/>
    <mergeCell ref="AB33:AB34"/>
    <mergeCell ref="AC33:AC34"/>
    <mergeCell ref="AD33:AD34"/>
    <mergeCell ref="AE33:AE34"/>
    <mergeCell ref="AF33:AF34"/>
    <mergeCell ref="AG33:AG34"/>
    <mergeCell ref="AE21:AF21"/>
    <mergeCell ref="AB22:AG22"/>
    <mergeCell ref="AB23:AB24"/>
    <mergeCell ref="AC23:AC24"/>
    <mergeCell ref="AD23:AD24"/>
    <mergeCell ref="AE23:AE24"/>
    <mergeCell ref="AF23:AF24"/>
    <mergeCell ref="AG23:AG24"/>
    <mergeCell ref="AB13:AB14"/>
    <mergeCell ref="AC13:AC14"/>
    <mergeCell ref="AD13:AD14"/>
    <mergeCell ref="AE13:AE14"/>
    <mergeCell ref="AF13:AF14"/>
    <mergeCell ref="AG13:AG14"/>
    <mergeCell ref="AB12:AG12"/>
    <mergeCell ref="K34:K35"/>
    <mergeCell ref="L34:L35"/>
    <mergeCell ref="M34:M35"/>
    <mergeCell ref="N34:N35"/>
    <mergeCell ref="Q32:Y32"/>
    <mergeCell ref="Q22:Y22"/>
    <mergeCell ref="Q23:Q24"/>
    <mergeCell ref="R23:R24"/>
    <mergeCell ref="S23:S24"/>
    <mergeCell ref="T23:T24"/>
    <mergeCell ref="U23:U24"/>
    <mergeCell ref="V23:V24"/>
    <mergeCell ref="W23:W24"/>
    <mergeCell ref="X23:X24"/>
    <mergeCell ref="Y23:Y24"/>
    <mergeCell ref="L13:L14"/>
    <mergeCell ref="M13:M14"/>
    <mergeCell ref="N13:N14"/>
    <mergeCell ref="B41:P43"/>
    <mergeCell ref="Y33:Y34"/>
    <mergeCell ref="B34:B35"/>
    <mergeCell ref="C34:C35"/>
    <mergeCell ref="D34:D35"/>
    <mergeCell ref="E34:E35"/>
    <mergeCell ref="F34:F35"/>
    <mergeCell ref="G34:G35"/>
    <mergeCell ref="H34:H35"/>
    <mergeCell ref="I34:I35"/>
    <mergeCell ref="J34:J35"/>
    <mergeCell ref="B33:H33"/>
    <mergeCell ref="Q33:Q34"/>
    <mergeCell ref="R33:R34"/>
    <mergeCell ref="S33:S34"/>
    <mergeCell ref="T33:T34"/>
    <mergeCell ref="U33:U34"/>
    <mergeCell ref="V33:V34"/>
    <mergeCell ref="W33:W34"/>
    <mergeCell ref="X33:X34"/>
    <mergeCell ref="I27:I28"/>
    <mergeCell ref="J27:J28"/>
    <mergeCell ref="K27:K28"/>
    <mergeCell ref="L27:L28"/>
    <mergeCell ref="M27:M28"/>
    <mergeCell ref="N27:N28"/>
    <mergeCell ref="B26:H26"/>
    <mergeCell ref="B27:B28"/>
    <mergeCell ref="C27:C28"/>
    <mergeCell ref="D27:D28"/>
    <mergeCell ref="E27:E28"/>
    <mergeCell ref="F27:F28"/>
    <mergeCell ref="G27:G28"/>
    <mergeCell ref="H27:H28"/>
    <mergeCell ref="I20:I21"/>
    <mergeCell ref="J20:J21"/>
    <mergeCell ref="K20:K21"/>
    <mergeCell ref="L20:L21"/>
    <mergeCell ref="M20:M21"/>
    <mergeCell ref="N20:N21"/>
    <mergeCell ref="X13:X14"/>
    <mergeCell ref="Y13:Y14"/>
    <mergeCell ref="B19:H19"/>
    <mergeCell ref="B20:B21"/>
    <mergeCell ref="C20:C21"/>
    <mergeCell ref="D20:D21"/>
    <mergeCell ref="E20:E21"/>
    <mergeCell ref="F20:F21"/>
    <mergeCell ref="G20:G21"/>
    <mergeCell ref="H20:H21"/>
    <mergeCell ref="R13:R14"/>
    <mergeCell ref="S13:S14"/>
    <mergeCell ref="T13:T14"/>
    <mergeCell ref="U13:U14"/>
    <mergeCell ref="V13:V14"/>
    <mergeCell ref="W13:W14"/>
    <mergeCell ref="J13:J14"/>
    <mergeCell ref="K13:K14"/>
    <mergeCell ref="Q13:Q14"/>
    <mergeCell ref="B12:H12"/>
    <mergeCell ref="Q12:Y12"/>
    <mergeCell ref="B13:B14"/>
    <mergeCell ref="C13:C14"/>
    <mergeCell ref="D13:D14"/>
    <mergeCell ref="E13:E14"/>
    <mergeCell ref="F13:F14"/>
    <mergeCell ref="G13:G14"/>
    <mergeCell ref="H13:H14"/>
    <mergeCell ref="I13:I14"/>
    <mergeCell ref="B1:V1"/>
    <mergeCell ref="B4:H4"/>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D99A-5857-4393-BF20-FAC1485E25A6}">
  <dimension ref="A1:AI39"/>
  <sheetViews>
    <sheetView topLeftCell="B1" zoomScale="106" zoomScaleNormal="130" workbookViewId="0">
      <selection activeCell="E10" sqref="E10"/>
    </sheetView>
  </sheetViews>
  <sheetFormatPr defaultRowHeight="14.5" x14ac:dyDescent="0.35"/>
  <cols>
    <col min="1" max="1" width="29.1796875" style="9" customWidth="1"/>
    <col min="2" max="2" width="7.6328125" style="9" customWidth="1"/>
    <col min="3" max="3" width="7.08984375" style="9" customWidth="1"/>
    <col min="4" max="4" width="5.90625" style="9" customWidth="1"/>
    <col min="5" max="5" width="48.54296875" style="9" customWidth="1"/>
    <col min="6" max="6" width="39.7265625" style="9" customWidth="1"/>
    <col min="7" max="7" width="20.81640625" style="9" customWidth="1"/>
    <col min="8" max="8" width="50.54296875" style="9" customWidth="1"/>
    <col min="9" max="9" width="10.90625" style="9" customWidth="1"/>
    <col min="10" max="10" width="8.7265625" style="9"/>
    <col min="11" max="11" width="24.54296875" style="9" customWidth="1"/>
    <col min="12" max="12" width="17.81640625" style="9" customWidth="1"/>
    <col min="13" max="13" width="14.453125" style="9" customWidth="1"/>
    <col min="14" max="14" width="15.26953125" style="9" customWidth="1"/>
    <col min="15" max="15" width="27.7265625" style="9" customWidth="1"/>
    <col min="16" max="16" width="14.90625" style="9" customWidth="1"/>
    <col min="17" max="17" width="18.1796875" style="9" customWidth="1"/>
    <col min="18" max="18" width="22.36328125" style="9" customWidth="1"/>
    <col min="19" max="19" width="26.54296875" style="9" customWidth="1"/>
    <col min="20" max="20" width="14.81640625" style="9" customWidth="1"/>
    <col min="21" max="21" width="11.453125" style="9" customWidth="1"/>
    <col min="22" max="22" width="25.26953125" style="9" customWidth="1"/>
    <col min="23" max="23" width="14.26953125" style="9" customWidth="1"/>
    <col min="24" max="24" width="17.08984375" style="9" customWidth="1"/>
    <col min="25" max="25" width="16.81640625" style="9" customWidth="1"/>
    <col min="26" max="26" width="16.453125" style="9" customWidth="1"/>
    <col min="27" max="27" width="14.453125" style="9" customWidth="1"/>
    <col min="28" max="28" width="11.26953125" style="18" customWidth="1"/>
    <col min="29" max="29" width="14.81640625" style="18" customWidth="1"/>
    <col min="30" max="30" width="16.26953125" style="9" customWidth="1"/>
    <col min="31" max="31" width="22.7265625" style="9" customWidth="1"/>
    <col min="32" max="32" width="16.1796875" style="9" customWidth="1"/>
    <col min="33" max="33" width="15.36328125" style="9" customWidth="1"/>
    <col min="34" max="34" width="26.1796875" style="9" customWidth="1"/>
    <col min="35" max="16384" width="8.7265625" style="9"/>
  </cols>
  <sheetData>
    <row r="1" spans="1:35" ht="14.5" customHeight="1" x14ac:dyDescent="0.35">
      <c r="K1" s="116" t="s">
        <v>93</v>
      </c>
      <c r="L1" s="116"/>
      <c r="M1" s="116"/>
      <c r="N1" s="116"/>
      <c r="O1" s="116"/>
      <c r="P1" s="116"/>
      <c r="Q1" s="116"/>
      <c r="R1" s="116"/>
      <c r="S1" s="116"/>
      <c r="T1" s="116"/>
      <c r="U1" s="116"/>
      <c r="V1" s="116"/>
      <c r="W1" s="116"/>
      <c r="X1" s="116"/>
      <c r="Y1" s="116"/>
      <c r="Z1" s="116"/>
      <c r="AA1" s="116"/>
      <c r="AB1" s="116"/>
      <c r="AC1" s="116"/>
    </row>
    <row r="2" spans="1:35" ht="14.5" customHeight="1" x14ac:dyDescent="0.35">
      <c r="K2" s="116"/>
      <c r="L2" s="116"/>
      <c r="M2" s="116"/>
      <c r="N2" s="116"/>
      <c r="O2" s="116"/>
      <c r="P2" s="116"/>
      <c r="Q2" s="116"/>
      <c r="R2" s="116"/>
      <c r="S2" s="116"/>
      <c r="T2" s="116"/>
      <c r="U2" s="116"/>
      <c r="V2" s="116"/>
      <c r="W2" s="116"/>
      <c r="X2" s="116"/>
      <c r="Y2" s="116"/>
      <c r="Z2" s="116"/>
      <c r="AA2" s="116"/>
      <c r="AB2" s="116"/>
      <c r="AC2" s="116"/>
    </row>
    <row r="3" spans="1:35" ht="18.5" customHeight="1" x14ac:dyDescent="0.45">
      <c r="A3" s="13" t="s">
        <v>72</v>
      </c>
      <c r="B3" s="120" t="s">
        <v>110</v>
      </c>
      <c r="C3" s="120"/>
      <c r="D3" s="120"/>
      <c r="E3" s="120"/>
      <c r="F3" s="120"/>
      <c r="G3" s="120"/>
      <c r="H3" s="120"/>
      <c r="K3" s="119" t="s">
        <v>71</v>
      </c>
      <c r="L3" s="119"/>
      <c r="M3" s="119"/>
      <c r="N3" s="119"/>
      <c r="O3" s="119"/>
      <c r="P3" s="119"/>
      <c r="Q3" s="119"/>
      <c r="R3" s="119"/>
    </row>
    <row r="4" spans="1:35" ht="16.5" x14ac:dyDescent="0.35">
      <c r="A4" s="9" t="s">
        <v>76</v>
      </c>
      <c r="B4" s="121" t="s">
        <v>111</v>
      </c>
      <c r="C4" s="121"/>
      <c r="D4" s="121"/>
      <c r="E4" s="121"/>
      <c r="F4" s="121"/>
      <c r="G4" s="121"/>
      <c r="H4" s="121"/>
      <c r="K4" s="50" t="s">
        <v>70</v>
      </c>
      <c r="L4" s="41" t="s">
        <v>218</v>
      </c>
      <c r="M4" s="41" t="s">
        <v>219</v>
      </c>
      <c r="N4" s="41" t="s">
        <v>220</v>
      </c>
      <c r="O4" s="41" t="s">
        <v>221</v>
      </c>
      <c r="P4" s="41" t="s">
        <v>222</v>
      </c>
      <c r="Q4" s="41" t="s">
        <v>224</v>
      </c>
      <c r="R4" s="41" t="s">
        <v>223</v>
      </c>
      <c r="S4" s="41" t="s">
        <v>225</v>
      </c>
    </row>
    <row r="5" spans="1:35" ht="15.5" x14ac:dyDescent="0.35">
      <c r="A5" s="9" t="s">
        <v>77</v>
      </c>
      <c r="B5" s="121" t="s">
        <v>112</v>
      </c>
      <c r="C5" s="121"/>
      <c r="D5" s="121"/>
      <c r="E5" s="121"/>
      <c r="F5" s="121"/>
      <c r="G5" s="121"/>
      <c r="H5" s="121"/>
      <c r="K5" s="15" t="s">
        <v>68</v>
      </c>
      <c r="L5" s="33">
        <v>152</v>
      </c>
      <c r="M5" s="33">
        <v>400</v>
      </c>
      <c r="N5" s="42">
        <v>0</v>
      </c>
      <c r="O5" s="42">
        <v>0</v>
      </c>
      <c r="P5" s="42">
        <v>800</v>
      </c>
      <c r="Q5" s="33">
        <v>1200</v>
      </c>
      <c r="R5" s="33">
        <v>4</v>
      </c>
      <c r="S5" s="20">
        <f>SUM(L5:R5)</f>
        <v>2556</v>
      </c>
    </row>
    <row r="6" spans="1:35" ht="15.5" x14ac:dyDescent="0.35">
      <c r="A6" s="9" t="s">
        <v>82</v>
      </c>
      <c r="B6" s="121" t="s">
        <v>279</v>
      </c>
      <c r="C6" s="121"/>
      <c r="D6" s="121"/>
      <c r="E6" s="121"/>
      <c r="F6" s="121"/>
      <c r="G6" s="121"/>
      <c r="H6" s="121"/>
      <c r="K6" s="15" t="s">
        <v>69</v>
      </c>
      <c r="L6" s="34">
        <v>162</v>
      </c>
      <c r="M6" s="34">
        <v>180</v>
      </c>
      <c r="N6" s="33">
        <v>108</v>
      </c>
      <c r="O6" s="33">
        <v>72</v>
      </c>
      <c r="P6" s="33">
        <v>687</v>
      </c>
      <c r="Q6" s="33">
        <v>1201</v>
      </c>
      <c r="R6" s="33">
        <v>0</v>
      </c>
      <c r="S6" s="20">
        <f>SUM(L6:R6)</f>
        <v>2410</v>
      </c>
    </row>
    <row r="7" spans="1:35" ht="14.5" customHeight="1" x14ac:dyDescent="0.35">
      <c r="A7" s="9" t="s">
        <v>49</v>
      </c>
      <c r="B7" s="121" t="s">
        <v>113</v>
      </c>
      <c r="C7" s="121"/>
      <c r="D7" s="121"/>
      <c r="E7" s="121"/>
      <c r="F7" s="121"/>
      <c r="G7" s="121"/>
      <c r="H7" s="121"/>
      <c r="I7" s="35"/>
      <c r="K7" s="115" t="s">
        <v>94</v>
      </c>
      <c r="L7" s="115"/>
      <c r="M7" s="115"/>
      <c r="N7" s="115"/>
      <c r="O7" s="115"/>
      <c r="P7" s="36"/>
      <c r="Q7" s="36"/>
      <c r="R7" s="115" t="s">
        <v>95</v>
      </c>
      <c r="S7" s="115"/>
      <c r="T7" s="115"/>
      <c r="U7" s="115"/>
      <c r="V7" s="115"/>
      <c r="X7" s="115" t="s">
        <v>102</v>
      </c>
      <c r="Y7" s="115"/>
      <c r="Z7" s="115"/>
      <c r="AA7" s="115"/>
      <c r="AB7" s="115"/>
      <c r="AE7" s="115" t="s">
        <v>122</v>
      </c>
      <c r="AF7" s="115"/>
      <c r="AG7" s="115"/>
      <c r="AH7" s="115"/>
      <c r="AI7" s="115"/>
    </row>
    <row r="8" spans="1:35" ht="14.5" customHeight="1" x14ac:dyDescent="0.35">
      <c r="A8" s="9" t="s">
        <v>41</v>
      </c>
      <c r="B8" s="122" t="s">
        <v>114</v>
      </c>
      <c r="C8" s="122"/>
      <c r="D8" s="122"/>
      <c r="E8" s="122"/>
      <c r="F8" s="122"/>
      <c r="G8" s="122"/>
      <c r="H8" s="122"/>
      <c r="I8" s="35"/>
      <c r="K8" s="115"/>
      <c r="L8" s="115"/>
      <c r="M8" s="115"/>
      <c r="N8" s="115"/>
      <c r="O8" s="115"/>
      <c r="P8" s="36"/>
      <c r="Q8" s="36"/>
      <c r="R8" s="115"/>
      <c r="S8" s="115"/>
      <c r="T8" s="115"/>
      <c r="U8" s="115"/>
      <c r="V8" s="115"/>
      <c r="X8" s="115"/>
      <c r="Y8" s="115"/>
      <c r="Z8" s="115"/>
      <c r="AA8" s="115"/>
      <c r="AB8" s="115"/>
      <c r="AE8" s="115"/>
      <c r="AF8" s="115"/>
      <c r="AG8" s="115"/>
      <c r="AH8" s="115"/>
      <c r="AI8" s="115"/>
    </row>
    <row r="9" spans="1:35" x14ac:dyDescent="0.35">
      <c r="I9" s="35"/>
      <c r="K9" s="113" t="s">
        <v>50</v>
      </c>
      <c r="L9" s="113"/>
      <c r="M9" s="70" t="s">
        <v>61</v>
      </c>
      <c r="N9" s="70" t="s">
        <v>51</v>
      </c>
      <c r="O9" s="70" t="s">
        <v>52</v>
      </c>
      <c r="R9" s="113" t="s">
        <v>50</v>
      </c>
      <c r="S9" s="113"/>
      <c r="T9" s="70" t="s">
        <v>61</v>
      </c>
      <c r="U9" s="70" t="s">
        <v>51</v>
      </c>
      <c r="V9" s="70" t="s">
        <v>52</v>
      </c>
      <c r="X9" s="113" t="s">
        <v>50</v>
      </c>
      <c r="Y9" s="113"/>
      <c r="Z9" s="70" t="s">
        <v>90</v>
      </c>
      <c r="AA9" s="70" t="s">
        <v>51</v>
      </c>
      <c r="AB9" s="107" t="s">
        <v>52</v>
      </c>
      <c r="AC9" s="108"/>
      <c r="AE9" s="59" t="s">
        <v>123</v>
      </c>
      <c r="AF9" s="31" t="s">
        <v>90</v>
      </c>
      <c r="AG9" s="31" t="s">
        <v>51</v>
      </c>
      <c r="AH9" s="31" t="s">
        <v>52</v>
      </c>
    </row>
    <row r="10" spans="1:35" ht="14.5" customHeight="1" x14ac:dyDescent="0.45">
      <c r="I10" s="35"/>
      <c r="K10" s="114" t="s">
        <v>66</v>
      </c>
      <c r="L10" s="114"/>
      <c r="M10" s="44">
        <v>0.83979999999999999</v>
      </c>
      <c r="N10" s="20" t="s">
        <v>226</v>
      </c>
      <c r="O10" s="48" t="s">
        <v>59</v>
      </c>
      <c r="R10" s="114" t="s">
        <v>87</v>
      </c>
      <c r="S10" s="114"/>
      <c r="T10" s="44">
        <v>4.1900000000000004</v>
      </c>
      <c r="U10" s="20" t="s">
        <v>86</v>
      </c>
      <c r="V10" s="15" t="s">
        <v>64</v>
      </c>
      <c r="X10" s="109" t="s">
        <v>91</v>
      </c>
      <c r="Y10" s="109"/>
      <c r="Z10" s="20">
        <v>40</v>
      </c>
      <c r="AA10" s="20" t="s">
        <v>267</v>
      </c>
      <c r="AB10" s="118" t="s">
        <v>43</v>
      </c>
      <c r="AC10" s="118"/>
      <c r="AE10" s="34" t="s">
        <v>115</v>
      </c>
      <c r="AF10" s="51">
        <v>8.72E-2</v>
      </c>
      <c r="AG10" s="20" t="s">
        <v>124</v>
      </c>
      <c r="AH10" s="15" t="s">
        <v>64</v>
      </c>
    </row>
    <row r="11" spans="1:35" ht="16.5" x14ac:dyDescent="0.45">
      <c r="K11" s="109" t="s">
        <v>57</v>
      </c>
      <c r="L11" s="109"/>
      <c r="M11" s="20">
        <v>8.0000000000000002E-3</v>
      </c>
      <c r="N11" s="20" t="s">
        <v>226</v>
      </c>
      <c r="O11" s="15" t="s">
        <v>65</v>
      </c>
      <c r="R11" s="109" t="s">
        <v>57</v>
      </c>
      <c r="S11" s="109"/>
      <c r="T11" s="20">
        <v>0.76400000000000001</v>
      </c>
      <c r="U11" s="20" t="s">
        <v>86</v>
      </c>
      <c r="V11" s="15" t="s">
        <v>64</v>
      </c>
      <c r="X11" s="109" t="s">
        <v>160</v>
      </c>
      <c r="Y11" s="109"/>
      <c r="Z11" s="20">
        <v>90</v>
      </c>
      <c r="AA11" s="101" t="s">
        <v>231</v>
      </c>
      <c r="AB11" s="112" t="s">
        <v>48</v>
      </c>
      <c r="AC11" s="112"/>
      <c r="AE11" s="34" t="s">
        <v>116</v>
      </c>
      <c r="AF11" s="51">
        <v>8.7999999999999995E-2</v>
      </c>
      <c r="AG11" s="20" t="s">
        <v>124</v>
      </c>
      <c r="AH11" s="15" t="s">
        <v>64</v>
      </c>
    </row>
    <row r="12" spans="1:35" ht="26" customHeight="1" x14ac:dyDescent="0.45">
      <c r="B12" s="105" t="s">
        <v>217</v>
      </c>
      <c r="C12" s="105"/>
      <c r="D12" s="105"/>
      <c r="E12" s="105"/>
      <c r="F12" s="105"/>
      <c r="G12" s="105"/>
      <c r="H12" s="105"/>
      <c r="K12" s="109" t="s">
        <v>53</v>
      </c>
      <c r="L12" s="109"/>
      <c r="M12" s="45">
        <v>0.35099999999999998</v>
      </c>
      <c r="N12" s="20" t="s">
        <v>226</v>
      </c>
      <c r="O12" s="15" t="s">
        <v>64</v>
      </c>
      <c r="R12" s="109" t="s">
        <v>53</v>
      </c>
      <c r="S12" s="109"/>
      <c r="T12" s="45">
        <v>2.6</v>
      </c>
      <c r="U12" s="20" t="s">
        <v>86</v>
      </c>
      <c r="V12" s="15" t="s">
        <v>64</v>
      </c>
      <c r="X12" s="109" t="s">
        <v>91</v>
      </c>
      <c r="Y12" s="109"/>
      <c r="Z12" s="20">
        <v>3.65</v>
      </c>
      <c r="AA12" s="101"/>
      <c r="AB12" s="102" t="s">
        <v>164</v>
      </c>
      <c r="AC12" s="102"/>
      <c r="AE12" s="34" t="s">
        <v>117</v>
      </c>
      <c r="AF12" s="51">
        <v>0.02</v>
      </c>
      <c r="AG12" s="20" t="s">
        <v>124</v>
      </c>
      <c r="AH12" s="15" t="s">
        <v>64</v>
      </c>
    </row>
    <row r="13" spans="1:35" ht="16.5" x14ac:dyDescent="0.45">
      <c r="B13" s="105"/>
      <c r="C13" s="105"/>
      <c r="D13" s="105"/>
      <c r="E13" s="105"/>
      <c r="F13" s="105"/>
      <c r="G13" s="105"/>
      <c r="H13" s="105"/>
      <c r="K13" s="109" t="s">
        <v>54</v>
      </c>
      <c r="L13" s="109"/>
      <c r="M13" s="20">
        <v>4.9300000000000004E-3</v>
      </c>
      <c r="N13" s="20" t="s">
        <v>226</v>
      </c>
      <c r="O13" s="15" t="s">
        <v>63</v>
      </c>
      <c r="R13" s="109" t="s">
        <v>54</v>
      </c>
      <c r="S13" s="109"/>
      <c r="T13" s="20">
        <v>5.7799999999999997E-2</v>
      </c>
      <c r="U13" s="20" t="s">
        <v>86</v>
      </c>
      <c r="V13" s="15" t="s">
        <v>64</v>
      </c>
      <c r="X13" s="109" t="s">
        <v>153</v>
      </c>
      <c r="Y13" s="109"/>
      <c r="Z13" s="20">
        <v>201</v>
      </c>
      <c r="AA13" s="20" t="s">
        <v>97</v>
      </c>
      <c r="AB13" s="112" t="s">
        <v>96</v>
      </c>
      <c r="AC13" s="112"/>
      <c r="AE13" s="34" t="s">
        <v>118</v>
      </c>
      <c r="AF13" s="51">
        <v>1.18E-2</v>
      </c>
      <c r="AG13" s="20" t="s">
        <v>124</v>
      </c>
      <c r="AH13" s="15" t="s">
        <v>64</v>
      </c>
    </row>
    <row r="14" spans="1:35" ht="16.5" x14ac:dyDescent="0.45">
      <c r="B14" s="105"/>
      <c r="C14" s="105"/>
      <c r="D14" s="105"/>
      <c r="E14" s="105"/>
      <c r="F14" s="105"/>
      <c r="G14" s="105"/>
      <c r="H14" s="105"/>
      <c r="K14" s="109" t="s">
        <v>55</v>
      </c>
      <c r="L14" s="109"/>
      <c r="M14" s="20">
        <v>4.9300000000000004E-3</v>
      </c>
      <c r="N14" s="20" t="s">
        <v>226</v>
      </c>
      <c r="O14" s="15" t="s">
        <v>63</v>
      </c>
      <c r="R14" s="109" t="s">
        <v>55</v>
      </c>
      <c r="S14" s="109"/>
      <c r="T14" s="20">
        <v>7.1900000000000006E-2</v>
      </c>
      <c r="U14" s="20" t="s">
        <v>86</v>
      </c>
      <c r="V14" s="15" t="s">
        <v>64</v>
      </c>
      <c r="X14" s="109" t="s">
        <v>132</v>
      </c>
      <c r="Y14" s="109"/>
      <c r="Z14" s="20">
        <v>40</v>
      </c>
      <c r="AA14" s="101" t="s">
        <v>267</v>
      </c>
      <c r="AB14" s="101" t="s">
        <v>43</v>
      </c>
      <c r="AC14" s="101"/>
      <c r="AE14" s="34" t="s">
        <v>119</v>
      </c>
      <c r="AF14" s="51">
        <v>1.2E-2</v>
      </c>
      <c r="AG14" s="20" t="s">
        <v>124</v>
      </c>
      <c r="AH14" s="15" t="s">
        <v>64</v>
      </c>
    </row>
    <row r="15" spans="1:35" ht="16.5" x14ac:dyDescent="0.45">
      <c r="B15" s="105"/>
      <c r="C15" s="105"/>
      <c r="D15" s="105"/>
      <c r="E15" s="105"/>
      <c r="F15" s="105"/>
      <c r="G15" s="105"/>
      <c r="H15" s="105"/>
      <c r="K15" s="109" t="s">
        <v>62</v>
      </c>
      <c r="L15" s="109"/>
      <c r="M15" s="45">
        <v>2.5000000000000001E-4</v>
      </c>
      <c r="N15" s="20" t="s">
        <v>226</v>
      </c>
      <c r="O15" s="15" t="s">
        <v>64</v>
      </c>
      <c r="R15" s="109" t="s">
        <v>62</v>
      </c>
      <c r="S15" s="109"/>
      <c r="T15" s="45">
        <v>2.9500000000000001E-4</v>
      </c>
      <c r="U15" s="20" t="s">
        <v>86</v>
      </c>
      <c r="V15" s="15" t="s">
        <v>64</v>
      </c>
      <c r="X15" s="109" t="s">
        <v>133</v>
      </c>
      <c r="Y15" s="109"/>
      <c r="Z15" s="20">
        <v>12</v>
      </c>
      <c r="AA15" s="101"/>
      <c r="AB15" s="101"/>
      <c r="AC15" s="101"/>
      <c r="AE15" s="34" t="s">
        <v>120</v>
      </c>
      <c r="AF15" s="51">
        <v>1.43</v>
      </c>
      <c r="AG15" s="20" t="s">
        <v>124</v>
      </c>
      <c r="AH15" s="15" t="s">
        <v>64</v>
      </c>
    </row>
    <row r="16" spans="1:35" ht="16.5" x14ac:dyDescent="0.45">
      <c r="K16" s="109" t="s">
        <v>56</v>
      </c>
      <c r="L16" s="109"/>
      <c r="M16" s="45">
        <v>0.86099999999999999</v>
      </c>
      <c r="N16" s="20" t="s">
        <v>226</v>
      </c>
      <c r="O16" s="15" t="s">
        <v>64</v>
      </c>
      <c r="R16" s="109" t="s">
        <v>56</v>
      </c>
      <c r="S16" s="109"/>
      <c r="T16" s="45">
        <v>19.8</v>
      </c>
      <c r="U16" s="20" t="s">
        <v>86</v>
      </c>
      <c r="V16" s="15" t="s">
        <v>64</v>
      </c>
      <c r="X16" s="109" t="s">
        <v>134</v>
      </c>
      <c r="Y16" s="109"/>
      <c r="Z16" s="20">
        <v>10</v>
      </c>
      <c r="AA16" s="101"/>
      <c r="AB16" s="101"/>
      <c r="AC16" s="101"/>
      <c r="AE16" s="34" t="s">
        <v>62</v>
      </c>
      <c r="AF16" s="51">
        <v>2.7699999999999999E-3</v>
      </c>
      <c r="AG16" s="20" t="s">
        <v>124</v>
      </c>
      <c r="AH16" s="15" t="s">
        <v>64</v>
      </c>
    </row>
    <row r="17" spans="11:34" ht="17.5" x14ac:dyDescent="0.45">
      <c r="K17" s="109" t="s">
        <v>58</v>
      </c>
      <c r="L17" s="109"/>
      <c r="M17" s="20">
        <v>787</v>
      </c>
      <c r="N17" s="20" t="s">
        <v>227</v>
      </c>
      <c r="O17" s="15" t="s">
        <v>96</v>
      </c>
      <c r="R17" s="109" t="s">
        <v>88</v>
      </c>
      <c r="S17" s="109"/>
      <c r="T17" s="37">
        <v>9230</v>
      </c>
      <c r="U17" s="20" t="s">
        <v>97</v>
      </c>
      <c r="V17" s="15" t="s">
        <v>96</v>
      </c>
      <c r="X17" s="109" t="s">
        <v>150</v>
      </c>
      <c r="Y17" s="109"/>
      <c r="Z17" s="20">
        <v>80</v>
      </c>
      <c r="AA17" s="20" t="s">
        <v>266</v>
      </c>
      <c r="AB17" s="110" t="s">
        <v>98</v>
      </c>
      <c r="AC17" s="100"/>
      <c r="AE17" s="34" t="s">
        <v>121</v>
      </c>
      <c r="AF17" s="45">
        <v>603</v>
      </c>
      <c r="AG17" s="20" t="s">
        <v>101</v>
      </c>
      <c r="AH17" s="15" t="s">
        <v>64</v>
      </c>
    </row>
    <row r="18" spans="11:34" ht="17.5" x14ac:dyDescent="0.45">
      <c r="K18" s="109" t="s">
        <v>146</v>
      </c>
      <c r="L18" s="109"/>
      <c r="M18" s="46">
        <v>0.17818909530201343</v>
      </c>
      <c r="N18" s="20" t="s">
        <v>228</v>
      </c>
      <c r="O18" s="15" t="s">
        <v>60</v>
      </c>
      <c r="R18" s="109" t="s">
        <v>89</v>
      </c>
      <c r="S18" s="109"/>
      <c r="T18" s="46">
        <v>1.74</v>
      </c>
      <c r="U18" s="20" t="s">
        <v>92</v>
      </c>
      <c r="V18" s="15" t="s">
        <v>64</v>
      </c>
      <c r="X18" s="109" t="s">
        <v>100</v>
      </c>
      <c r="Y18" s="109"/>
      <c r="Z18" s="20">
        <v>102.1</v>
      </c>
      <c r="AA18" s="20" t="s">
        <v>101</v>
      </c>
      <c r="AB18" s="110" t="s">
        <v>99</v>
      </c>
      <c r="AC18" s="100"/>
      <c r="AE18" s="20" t="s">
        <v>68</v>
      </c>
      <c r="AF18" s="52">
        <f>L5*AF16+M5*AF10+N5*AF11+O5*AF12+P5*AF14+Q5*AF13+R5*AF15</f>
        <v>64.781040000000004</v>
      </c>
      <c r="AG18" s="20" t="s">
        <v>265</v>
      </c>
      <c r="AH18" s="15" t="s">
        <v>83</v>
      </c>
    </row>
    <row r="19" spans="11:34" ht="17.5" x14ac:dyDescent="0.45">
      <c r="K19" s="109" t="s">
        <v>147</v>
      </c>
      <c r="L19" s="109"/>
      <c r="M19" s="46">
        <v>0.65828412483221477</v>
      </c>
      <c r="N19" s="20" t="s">
        <v>229</v>
      </c>
      <c r="O19" s="15" t="s">
        <v>60</v>
      </c>
      <c r="R19" s="109" t="s">
        <v>68</v>
      </c>
      <c r="S19" s="109"/>
      <c r="T19" s="47">
        <f>L5*T15+M5*T10+N5*T12+O5*T11+P5*T13+Q5*T14+R5*T16</f>
        <v>1887.7648400000003</v>
      </c>
      <c r="U19" s="20" t="s">
        <v>231</v>
      </c>
      <c r="V19" s="15" t="s">
        <v>83</v>
      </c>
      <c r="X19" s="109" t="s">
        <v>103</v>
      </c>
      <c r="Y19" s="109"/>
      <c r="Z19" s="20">
        <v>145</v>
      </c>
      <c r="AA19" s="20" t="s">
        <v>265</v>
      </c>
      <c r="AB19" s="101" t="s">
        <v>105</v>
      </c>
      <c r="AC19" s="101"/>
      <c r="AE19" s="42" t="s">
        <v>69</v>
      </c>
      <c r="AF19" s="53">
        <f>L6*AF16+M6*AF10+N6*AF11+O6*AF12+P6*AF14+Q6*AF13+R6*AF15</f>
        <v>49.504539999999999</v>
      </c>
      <c r="AG19" s="20" t="s">
        <v>265</v>
      </c>
      <c r="AH19" s="15" t="s">
        <v>83</v>
      </c>
    </row>
    <row r="20" spans="11:34" ht="17.5" x14ac:dyDescent="0.45">
      <c r="K20" s="109" t="s">
        <v>68</v>
      </c>
      <c r="L20" s="109"/>
      <c r="M20" s="49">
        <f>L5*M15+M5*M10+N5*M12+O5*M11+P5*M13+Q5*M14+R5*M16</f>
        <v>349.26200000000006</v>
      </c>
      <c r="N20" s="20" t="s">
        <v>230</v>
      </c>
      <c r="O20" s="15" t="s">
        <v>83</v>
      </c>
      <c r="R20" s="117" t="s">
        <v>69</v>
      </c>
      <c r="S20" s="117"/>
      <c r="T20" s="47">
        <f>L6*T15+M6*T10+N6*T12+O6*T11+P6*T13+Q6*T14+R6*T16</f>
        <v>1216.1162899999999</v>
      </c>
      <c r="U20" s="20" t="s">
        <v>231</v>
      </c>
      <c r="V20" s="15" t="s">
        <v>83</v>
      </c>
      <c r="X20" s="109" t="s">
        <v>104</v>
      </c>
      <c r="Y20" s="109"/>
      <c r="Z20" s="20">
        <v>980</v>
      </c>
      <c r="AA20" s="20" t="s">
        <v>101</v>
      </c>
      <c r="AB20" s="101"/>
      <c r="AC20" s="101"/>
      <c r="AE20" s="18"/>
      <c r="AF20" s="18"/>
      <c r="AG20" s="18"/>
    </row>
    <row r="21" spans="11:34" ht="17.5" x14ac:dyDescent="0.45">
      <c r="K21" s="117" t="s">
        <v>69</v>
      </c>
      <c r="L21" s="117"/>
      <c r="M21" s="49">
        <f>L6*M15+M6*M10+N6*M12+O6*M11+P6*M13+Q6*M14+R6*M16</f>
        <v>198.99634</v>
      </c>
      <c r="N21" s="20" t="s">
        <v>230</v>
      </c>
      <c r="O21" s="15" t="s">
        <v>83</v>
      </c>
      <c r="X21" s="109" t="s">
        <v>107</v>
      </c>
      <c r="Y21" s="109"/>
      <c r="Z21" s="20">
        <v>36</v>
      </c>
      <c r="AA21" s="20" t="s">
        <v>266</v>
      </c>
      <c r="AB21" s="101"/>
      <c r="AC21" s="101"/>
    </row>
    <row r="22" spans="11:34" ht="16.5" x14ac:dyDescent="0.35">
      <c r="M22" s="40"/>
      <c r="X22" s="109" t="s">
        <v>106</v>
      </c>
      <c r="Y22" s="109"/>
      <c r="Z22" s="20">
        <v>45</v>
      </c>
      <c r="AA22" s="20" t="s">
        <v>266</v>
      </c>
      <c r="AB22" s="101"/>
      <c r="AC22" s="101"/>
    </row>
    <row r="23" spans="11:34" x14ac:dyDescent="0.35">
      <c r="X23" s="109" t="s">
        <v>129</v>
      </c>
      <c r="Y23" s="109"/>
      <c r="Z23" s="20">
        <v>12.5</v>
      </c>
      <c r="AA23" s="20" t="s">
        <v>101</v>
      </c>
      <c r="AB23" s="100" t="s">
        <v>128</v>
      </c>
      <c r="AC23" s="100"/>
    </row>
    <row r="24" spans="11:34" x14ac:dyDescent="0.35">
      <c r="X24" s="109" t="s">
        <v>159</v>
      </c>
      <c r="Y24" s="109"/>
      <c r="Z24" s="20">
        <v>0.10062500000000001</v>
      </c>
      <c r="AA24" s="20" t="s">
        <v>157</v>
      </c>
      <c r="AB24" s="110" t="s">
        <v>158</v>
      </c>
      <c r="AC24" s="100"/>
    </row>
    <row r="25" spans="11:34" ht="15.5" x14ac:dyDescent="0.35">
      <c r="M25" s="40"/>
      <c r="X25" s="109" t="s">
        <v>154</v>
      </c>
      <c r="Y25" s="109"/>
      <c r="Z25" s="20">
        <v>33.75</v>
      </c>
      <c r="AA25" s="20" t="s">
        <v>97</v>
      </c>
      <c r="AB25" s="100" t="s">
        <v>156</v>
      </c>
      <c r="AC25" s="100"/>
    </row>
    <row r="26" spans="11:34" x14ac:dyDescent="0.35">
      <c r="O26" s="39"/>
      <c r="X26" s="109" t="s">
        <v>151</v>
      </c>
      <c r="Y26" s="109"/>
      <c r="Z26" s="20">
        <v>1.234</v>
      </c>
      <c r="AA26" s="101" t="s">
        <v>227</v>
      </c>
      <c r="AB26" s="101" t="s">
        <v>43</v>
      </c>
      <c r="AC26" s="101"/>
    </row>
    <row r="27" spans="11:34" x14ac:dyDescent="0.35">
      <c r="X27" s="109" t="s">
        <v>143</v>
      </c>
      <c r="Y27" s="109"/>
      <c r="Z27" s="20">
        <v>1.264</v>
      </c>
      <c r="AA27" s="101"/>
      <c r="AB27" s="101"/>
      <c r="AC27" s="101"/>
    </row>
    <row r="28" spans="11:34" ht="16.5" x14ac:dyDescent="0.35">
      <c r="X28" s="109" t="s">
        <v>130</v>
      </c>
      <c r="Y28" s="109"/>
      <c r="Z28" s="20">
        <v>1E-4</v>
      </c>
      <c r="AA28" s="42" t="s">
        <v>227</v>
      </c>
      <c r="AB28" s="101" t="s">
        <v>131</v>
      </c>
      <c r="AC28" s="101"/>
    </row>
    <row r="29" spans="11:34" x14ac:dyDescent="0.35">
      <c r="X29" s="109" t="s">
        <v>130</v>
      </c>
      <c r="Y29" s="109"/>
      <c r="Z29" s="20">
        <v>2.0000000000000002E-5</v>
      </c>
      <c r="AA29" s="20" t="s">
        <v>97</v>
      </c>
      <c r="AB29" s="101"/>
      <c r="AC29" s="101"/>
    </row>
    <row r="30" spans="11:34" x14ac:dyDescent="0.35">
      <c r="X30" s="109" t="s">
        <v>135</v>
      </c>
      <c r="Y30" s="109"/>
      <c r="Z30" s="20">
        <v>20</v>
      </c>
      <c r="AA30" s="20" t="s">
        <v>137</v>
      </c>
      <c r="AB30" s="101" t="s">
        <v>43</v>
      </c>
      <c r="AC30" s="101"/>
    </row>
    <row r="31" spans="11:34" x14ac:dyDescent="0.35">
      <c r="X31" s="109" t="s">
        <v>136</v>
      </c>
      <c r="Y31" s="109"/>
      <c r="Z31" s="20">
        <v>120</v>
      </c>
      <c r="AA31" s="20" t="s">
        <v>137</v>
      </c>
      <c r="AB31" s="101"/>
      <c r="AC31" s="101"/>
    </row>
    <row r="32" spans="11:34" x14ac:dyDescent="0.35">
      <c r="X32" s="109" t="s">
        <v>139</v>
      </c>
      <c r="Y32" s="109"/>
      <c r="Z32" s="20">
        <v>50</v>
      </c>
      <c r="AA32" s="20" t="s">
        <v>137</v>
      </c>
      <c r="AB32" s="112" t="s">
        <v>138</v>
      </c>
      <c r="AC32" s="112"/>
    </row>
    <row r="33" spans="24:29" x14ac:dyDescent="0.35">
      <c r="X33" s="109" t="s">
        <v>140</v>
      </c>
      <c r="Y33" s="109"/>
      <c r="Z33" s="20">
        <v>50</v>
      </c>
      <c r="AA33" s="20" t="s">
        <v>137</v>
      </c>
      <c r="AB33" s="101" t="s">
        <v>141</v>
      </c>
      <c r="AC33" s="101"/>
    </row>
    <row r="34" spans="24:29" x14ac:dyDescent="0.35">
      <c r="X34" s="109" t="s">
        <v>142</v>
      </c>
      <c r="Y34" s="109"/>
      <c r="Z34" s="20">
        <v>50</v>
      </c>
      <c r="AA34" s="20" t="s">
        <v>137</v>
      </c>
      <c r="AB34" s="101"/>
      <c r="AC34" s="101"/>
    </row>
    <row r="35" spans="24:29" ht="29" customHeight="1" x14ac:dyDescent="0.35">
      <c r="X35" s="109" t="s">
        <v>152</v>
      </c>
      <c r="Y35" s="109"/>
      <c r="Z35" s="20">
        <v>147.13999999999999</v>
      </c>
      <c r="AA35" s="20" t="s">
        <v>231</v>
      </c>
      <c r="AB35" s="102" t="s">
        <v>165</v>
      </c>
      <c r="AC35" s="102"/>
    </row>
    <row r="36" spans="24:29" x14ac:dyDescent="0.35">
      <c r="X36" s="109" t="s">
        <v>148</v>
      </c>
      <c r="Y36" s="109"/>
      <c r="Z36" s="20">
        <v>5</v>
      </c>
      <c r="AA36" s="20" t="s">
        <v>149</v>
      </c>
      <c r="AB36" s="112" t="s">
        <v>43</v>
      </c>
      <c r="AC36" s="112"/>
    </row>
    <row r="37" spans="24:29" x14ac:dyDescent="0.35">
      <c r="X37" s="109" t="s">
        <v>155</v>
      </c>
      <c r="Y37" s="109"/>
      <c r="Z37" s="20">
        <v>95</v>
      </c>
      <c r="AA37" s="20" t="s">
        <v>149</v>
      </c>
      <c r="AB37" s="112" t="s">
        <v>141</v>
      </c>
      <c r="AC37" s="112"/>
    </row>
    <row r="38" spans="24:29" ht="16.5" x14ac:dyDescent="0.35">
      <c r="X38" s="109" t="s">
        <v>67</v>
      </c>
      <c r="Y38" s="109"/>
      <c r="Z38" s="43">
        <v>7850</v>
      </c>
      <c r="AA38" s="20" t="s">
        <v>268</v>
      </c>
      <c r="AB38" s="112" t="s">
        <v>105</v>
      </c>
      <c r="AC38" s="112"/>
    </row>
    <row r="39" spans="24:29" x14ac:dyDescent="0.35">
      <c r="X39" s="111"/>
      <c r="Y39" s="111"/>
      <c r="Z39" s="18"/>
      <c r="AA39" s="18"/>
      <c r="AB39" s="104"/>
      <c r="AC39" s="104"/>
    </row>
  </sheetData>
  <protectedRanges>
    <protectedRange sqref="Z38 M22 M25" name="Range2"/>
  </protectedRanges>
  <mergeCells count="94">
    <mergeCell ref="X26:Y26"/>
    <mergeCell ref="X27:Y27"/>
    <mergeCell ref="X29:Y29"/>
    <mergeCell ref="X28:Y28"/>
    <mergeCell ref="AB28:AC29"/>
    <mergeCell ref="AB26:AC27"/>
    <mergeCell ref="B8:H8"/>
    <mergeCell ref="X38:Y38"/>
    <mergeCell ref="AB38:AC38"/>
    <mergeCell ref="AA11:AA12"/>
    <mergeCell ref="AB17:AC17"/>
    <mergeCell ref="X17:Y17"/>
    <mergeCell ref="AB18:AC18"/>
    <mergeCell ref="X18:Y18"/>
    <mergeCell ref="X19:Y19"/>
    <mergeCell ref="X21:Y21"/>
    <mergeCell ref="X22:Y22"/>
    <mergeCell ref="R16:S16"/>
    <mergeCell ref="X11:Y11"/>
    <mergeCell ref="AB11:AC11"/>
    <mergeCell ref="K18:L18"/>
    <mergeCell ref="K19:L19"/>
    <mergeCell ref="AE7:AI8"/>
    <mergeCell ref="B3:H3"/>
    <mergeCell ref="B4:H4"/>
    <mergeCell ref="B5:H5"/>
    <mergeCell ref="B12:H15"/>
    <mergeCell ref="X14:Y14"/>
    <mergeCell ref="B6:H6"/>
    <mergeCell ref="B7:H7"/>
    <mergeCell ref="AB12:AC12"/>
    <mergeCell ref="AB13:AC13"/>
    <mergeCell ref="R11:S11"/>
    <mergeCell ref="R12:S12"/>
    <mergeCell ref="R13:S13"/>
    <mergeCell ref="R14:S14"/>
    <mergeCell ref="R15:S15"/>
    <mergeCell ref="X10:Y10"/>
    <mergeCell ref="K1:AC2"/>
    <mergeCell ref="R17:S17"/>
    <mergeCell ref="R18:S18"/>
    <mergeCell ref="R19:S19"/>
    <mergeCell ref="R20:S20"/>
    <mergeCell ref="X12:Y12"/>
    <mergeCell ref="X13:Y13"/>
    <mergeCell ref="X20:Y20"/>
    <mergeCell ref="AB10:AC10"/>
    <mergeCell ref="K20:L20"/>
    <mergeCell ref="X7:AB8"/>
    <mergeCell ref="X9:Y9"/>
    <mergeCell ref="K3:R3"/>
    <mergeCell ref="AB19:AC22"/>
    <mergeCell ref="K21:L21"/>
    <mergeCell ref="R7:V8"/>
    <mergeCell ref="K7:O8"/>
    <mergeCell ref="K11:L11"/>
    <mergeCell ref="K12:L12"/>
    <mergeCell ref="K13:L13"/>
    <mergeCell ref="K14:L14"/>
    <mergeCell ref="K16:L16"/>
    <mergeCell ref="K17:L17"/>
    <mergeCell ref="K9:L9"/>
    <mergeCell ref="K10:L10"/>
    <mergeCell ref="R9:S9"/>
    <mergeCell ref="R10:S10"/>
    <mergeCell ref="K15:L15"/>
    <mergeCell ref="X39:Y39"/>
    <mergeCell ref="AB39:AC39"/>
    <mergeCell ref="X30:Y30"/>
    <mergeCell ref="X31:Y31"/>
    <mergeCell ref="AB30:AC31"/>
    <mergeCell ref="X32:Y32"/>
    <mergeCell ref="AB32:AC32"/>
    <mergeCell ref="AB37:AC37"/>
    <mergeCell ref="X35:Y35"/>
    <mergeCell ref="X36:Y36"/>
    <mergeCell ref="AB36:AC36"/>
    <mergeCell ref="X37:Y37"/>
    <mergeCell ref="AB9:AC9"/>
    <mergeCell ref="X33:Y33"/>
    <mergeCell ref="X34:Y34"/>
    <mergeCell ref="AB33:AC34"/>
    <mergeCell ref="AB35:AC35"/>
    <mergeCell ref="X23:Y23"/>
    <mergeCell ref="AB23:AC23"/>
    <mergeCell ref="X15:Y15"/>
    <mergeCell ref="X16:Y16"/>
    <mergeCell ref="AA14:AA16"/>
    <mergeCell ref="AB14:AC16"/>
    <mergeCell ref="AB24:AC24"/>
    <mergeCell ref="X24:Y24"/>
    <mergeCell ref="AB25:AC25"/>
    <mergeCell ref="X25:Y25"/>
    <mergeCell ref="AA26:AA27"/>
  </mergeCells>
  <phoneticPr fontId="11" type="noConversion"/>
  <hyperlinks>
    <hyperlink ref="AB17" r:id="rId1" xr:uid="{F6573885-641D-4810-A740-727CC97CEAB2}"/>
    <hyperlink ref="AB18" r:id="rId2" xr:uid="{86D48AD7-E3A7-48D6-A073-67635D55DC95}"/>
    <hyperlink ref="AB24" r:id="rId3" xr:uid="{01775C77-FBD3-41BC-8D30-9E6920F15669}"/>
  </hyperlinks>
  <pageMargins left="0.7" right="0.7" top="0.75" bottom="0.75" header="0.3" footer="0.3"/>
  <pageSetup paperSize="9" orientation="portrait" horizontalDpi="300" verticalDpi="0" copies="0"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1849E-ABA9-4BB4-A50D-3CFC3749C6CA}">
  <dimension ref="A2:BA24"/>
  <sheetViews>
    <sheetView zoomScale="82" zoomScaleNormal="40" workbookViewId="0">
      <selection activeCell="C6" sqref="C6"/>
    </sheetView>
  </sheetViews>
  <sheetFormatPr defaultRowHeight="14.5" x14ac:dyDescent="0.35"/>
  <cols>
    <col min="1" max="1" width="34.36328125" style="9" customWidth="1"/>
    <col min="2" max="2" width="11.36328125" style="9" bestFit="1" customWidth="1"/>
    <col min="3" max="4" width="8.7265625" style="9"/>
    <col min="5" max="5" width="10.36328125" style="9" bestFit="1" customWidth="1"/>
    <col min="6" max="8" width="8.7265625" style="9"/>
    <col min="9" max="9" width="10.36328125" style="9" bestFit="1" customWidth="1"/>
    <col min="10" max="10" width="14.453125" style="9" customWidth="1"/>
    <col min="11" max="12" width="8.7265625" style="9"/>
    <col min="13" max="13" width="40.453125" style="9" customWidth="1"/>
    <col min="14" max="14" width="13.54296875" style="9" customWidth="1"/>
    <col min="15" max="17" width="8" style="9" customWidth="1"/>
    <col min="18" max="18" width="11.453125" style="9" customWidth="1"/>
    <col min="19" max="21" width="8" style="9" customWidth="1"/>
    <col min="22" max="22" width="13.54296875" style="9" customWidth="1"/>
    <col min="23" max="23" width="9.36328125" style="9" bestFit="1" customWidth="1"/>
    <col min="24" max="24" width="9.36328125" style="9" customWidth="1"/>
    <col min="25" max="25" width="35.90625" style="9" customWidth="1"/>
    <col min="26" max="33" width="10.1796875" style="9" customWidth="1"/>
    <col min="34" max="34" width="13" style="9" customWidth="1"/>
    <col min="35" max="36" width="8.7265625" style="9"/>
    <col min="37" max="37" width="53.6328125" style="9" customWidth="1"/>
    <col min="38" max="38" width="12.453125" style="9" customWidth="1"/>
    <col min="39" max="39" width="8.7265625" style="9"/>
    <col min="40" max="40" width="43.08984375" style="9" customWidth="1"/>
    <col min="41" max="41" width="23.36328125" style="9" customWidth="1"/>
    <col min="42" max="42" width="14.81640625" style="9" customWidth="1"/>
    <col min="43" max="43" width="39.36328125" style="9" customWidth="1"/>
    <col min="44" max="44" width="10.36328125" style="9" customWidth="1"/>
    <col min="45" max="45" width="11.08984375" style="9" customWidth="1"/>
    <col min="46" max="46" width="40.6328125" style="9" customWidth="1"/>
    <col min="47" max="47" width="15.36328125" style="9" customWidth="1"/>
    <col min="48" max="48" width="28.81640625" style="9" customWidth="1"/>
    <col min="49" max="49" width="24.08984375" style="9" customWidth="1"/>
    <col min="50" max="50" width="10.36328125" style="9" customWidth="1"/>
    <col min="51" max="51" width="33.7265625" style="9" customWidth="1"/>
    <col min="52" max="16384" width="8.7265625" style="9"/>
  </cols>
  <sheetData>
    <row r="2" spans="1:53" ht="16.5" x14ac:dyDescent="0.35">
      <c r="A2" s="126" t="s">
        <v>269</v>
      </c>
      <c r="B2" s="126"/>
      <c r="C2" s="126"/>
      <c r="D2" s="126"/>
      <c r="E2" s="126"/>
      <c r="F2" s="126"/>
      <c r="G2" s="126"/>
      <c r="H2" s="126"/>
      <c r="I2" s="126"/>
      <c r="J2" s="126"/>
      <c r="K2" s="126"/>
      <c r="M2" s="125" t="s">
        <v>270</v>
      </c>
      <c r="N2" s="125"/>
      <c r="O2" s="125"/>
      <c r="P2" s="125"/>
      <c r="Q2" s="125"/>
      <c r="R2" s="125"/>
      <c r="S2" s="125"/>
      <c r="T2" s="125"/>
      <c r="U2" s="125"/>
      <c r="V2" s="125"/>
      <c r="W2" s="125"/>
      <c r="X2" s="76"/>
      <c r="Y2" s="107" t="s">
        <v>271</v>
      </c>
      <c r="Z2" s="127"/>
      <c r="AA2" s="127"/>
      <c r="AB2" s="127"/>
      <c r="AC2" s="127"/>
      <c r="AD2" s="127"/>
      <c r="AE2" s="127"/>
      <c r="AF2" s="127"/>
      <c r="AG2" s="127"/>
      <c r="AH2" s="127"/>
      <c r="AI2" s="108"/>
      <c r="AJ2" s="76"/>
      <c r="AK2" s="125" t="s">
        <v>272</v>
      </c>
      <c r="AL2" s="125"/>
      <c r="AM2" s="13"/>
      <c r="AN2" s="124" t="s">
        <v>273</v>
      </c>
      <c r="AO2" s="124"/>
      <c r="AP2" s="79"/>
      <c r="AQ2" s="128" t="s">
        <v>274</v>
      </c>
      <c r="AR2" s="129"/>
      <c r="AS2" s="11"/>
      <c r="AT2" s="123" t="s">
        <v>275</v>
      </c>
      <c r="AU2" s="80"/>
      <c r="AV2" s="104" t="s">
        <v>45</v>
      </c>
      <c r="AW2" s="104" t="s">
        <v>52</v>
      </c>
      <c r="AY2" s="98"/>
      <c r="AZ2" s="98"/>
    </row>
    <row r="3" spans="1:53" x14ac:dyDescent="0.35">
      <c r="A3" s="41" t="s">
        <v>72</v>
      </c>
      <c r="B3" s="42" t="s">
        <v>73</v>
      </c>
      <c r="C3" s="20" t="s">
        <v>74</v>
      </c>
      <c r="D3" s="20" t="s">
        <v>75</v>
      </c>
      <c r="E3" s="20" t="s">
        <v>42</v>
      </c>
      <c r="F3" s="20" t="s">
        <v>44</v>
      </c>
      <c r="G3" s="20" t="s">
        <v>46</v>
      </c>
      <c r="H3" s="20" t="s">
        <v>47</v>
      </c>
      <c r="I3" s="20" t="s">
        <v>127</v>
      </c>
      <c r="J3" s="41" t="s">
        <v>144</v>
      </c>
      <c r="K3" s="41" t="s">
        <v>145</v>
      </c>
      <c r="M3" s="41" t="s">
        <v>72</v>
      </c>
      <c r="N3" s="42" t="s">
        <v>73</v>
      </c>
      <c r="O3" s="42" t="s">
        <v>74</v>
      </c>
      <c r="P3" s="42" t="s">
        <v>75</v>
      </c>
      <c r="Q3" s="42" t="s">
        <v>42</v>
      </c>
      <c r="R3" s="42" t="s">
        <v>44</v>
      </c>
      <c r="S3" s="42" t="s">
        <v>46</v>
      </c>
      <c r="T3" s="42" t="s">
        <v>47</v>
      </c>
      <c r="U3" s="42" t="s">
        <v>127</v>
      </c>
      <c r="V3" s="73" t="s">
        <v>144</v>
      </c>
      <c r="W3" s="41" t="s">
        <v>145</v>
      </c>
      <c r="X3" s="11"/>
      <c r="Y3" s="41" t="s">
        <v>72</v>
      </c>
      <c r="Z3" s="20" t="s">
        <v>73</v>
      </c>
      <c r="AA3" s="20" t="s">
        <v>74</v>
      </c>
      <c r="AB3" s="20" t="s">
        <v>75</v>
      </c>
      <c r="AC3" s="20" t="s">
        <v>42</v>
      </c>
      <c r="AD3" s="20" t="s">
        <v>44</v>
      </c>
      <c r="AE3" s="20" t="s">
        <v>46</v>
      </c>
      <c r="AF3" s="20" t="s">
        <v>47</v>
      </c>
      <c r="AG3" s="20" t="s">
        <v>127</v>
      </c>
      <c r="AH3" s="73" t="s">
        <v>144</v>
      </c>
      <c r="AI3" s="73" t="s">
        <v>145</v>
      </c>
      <c r="AJ3" s="54"/>
      <c r="AK3" s="41" t="s">
        <v>72</v>
      </c>
      <c r="AL3" s="73" t="s">
        <v>78</v>
      </c>
      <c r="AM3" s="18"/>
      <c r="AN3" s="50" t="s">
        <v>72</v>
      </c>
      <c r="AO3" s="73" t="s">
        <v>78</v>
      </c>
      <c r="AP3" s="54"/>
      <c r="AQ3" s="73" t="s">
        <v>72</v>
      </c>
      <c r="AR3" s="73" t="s">
        <v>78</v>
      </c>
      <c r="AS3" s="54"/>
      <c r="AT3" s="123"/>
      <c r="AU3" s="80"/>
      <c r="AV3" s="104"/>
      <c r="AW3" s="104"/>
      <c r="AY3" s="13"/>
      <c r="AZ3" s="54"/>
      <c r="BA3" s="13"/>
    </row>
    <row r="4" spans="1:53" x14ac:dyDescent="0.35">
      <c r="A4" s="20" t="s">
        <v>232</v>
      </c>
      <c r="B4" s="71">
        <f>('New build case_for_reuse'!M2*Inventory!M20+'New build case_for_reuse'!M5*Inventory!M17)/'New build case_for_reuse'!M8</f>
        <v>410.5248062335699</v>
      </c>
      <c r="C4" s="71">
        <f>((('New build case_for_reuse'!M3*Inventory!Z30*Inventory!M18)+(Inventory!Z30*Inventory!M19))+('New build case_for_reuse'!M5*Inventory!Z31*Inventory!M18)+(Inventory!Z31*Inventory!M19))/'New build case_for_reuse'!M8</f>
        <v>10.858888976718042</v>
      </c>
      <c r="D4" s="71">
        <f>40+(0.05*(B4+C4))</f>
        <v>61.069184760514403</v>
      </c>
      <c r="E4" s="20"/>
      <c r="F4" s="20"/>
      <c r="G4" s="20"/>
      <c r="H4" s="20"/>
      <c r="I4" s="20"/>
      <c r="J4" s="28">
        <f t="shared" ref="J4:J11" si="0">SUM(B4:H4)</f>
        <v>482.45287997080237</v>
      </c>
      <c r="K4" s="28">
        <f>SUM(I4:J4)</f>
        <v>482.45287997080237</v>
      </c>
      <c r="M4" s="20" t="s">
        <v>232</v>
      </c>
      <c r="N4" s="75">
        <f>('New build case_for_reuse'!M2*Inventory!T19+'New build case_for_reuse'!M5*Inventory!T17)/'New build case_for_reuse'!M8</f>
        <v>2698.8094408144439</v>
      </c>
      <c r="O4" s="75">
        <f>('New build case_for_reuse'!M3*Inventory!T18*Inventory!Z30*1.7+'New build case_for_reuse'!M5*Inventory!T18*Inventory!Z31*1.7)/'New build case_for_reuse'!M8</f>
        <v>179.10889870374891</v>
      </c>
      <c r="P4" s="75">
        <f>(('New build case_for_reuse'!M2*Inventory!Z12)/'New build case_for_reuse'!M8)+(0.05*(O4+N4))</f>
        <v>147.39295368104828</v>
      </c>
      <c r="Q4" s="20"/>
      <c r="R4" s="20"/>
      <c r="S4" s="20"/>
      <c r="T4" s="20"/>
      <c r="U4" s="20"/>
      <c r="V4" s="74">
        <f>SUM(N4:T4)</f>
        <v>3025.3112931992409</v>
      </c>
      <c r="W4" s="74">
        <f>SUM(U4:V4)</f>
        <v>3025.3112931992409</v>
      </c>
      <c r="X4" s="55"/>
      <c r="Y4" s="20" t="s">
        <v>232</v>
      </c>
      <c r="Z4" s="21">
        <f>(('New build case_for_reuse'!M3+'New build case_for_reuse'!M5)/'New build case_for_reuse'!M8)*1000</f>
        <v>2545.3254523233827</v>
      </c>
      <c r="AA4" s="20">
        <v>0</v>
      </c>
      <c r="AB4" s="20">
        <v>0</v>
      </c>
      <c r="AC4" s="20"/>
      <c r="AD4" s="20"/>
      <c r="AE4" s="20"/>
      <c r="AF4" s="20"/>
      <c r="AG4" s="20"/>
      <c r="AH4" s="74">
        <f>SUM(Z4:AF4)</f>
        <v>2545.3254523233827</v>
      </c>
      <c r="AI4" s="74">
        <f>SUM(AG4:AH4)</f>
        <v>2545.3254523233827</v>
      </c>
      <c r="AJ4" s="55"/>
      <c r="AK4" s="20" t="s">
        <v>232</v>
      </c>
      <c r="AL4" s="66">
        <f>('New build case_for_reuse'!M2*Inventory!AF18+'New build case_for_reuse'!M5*Inventory!AF17)/'New build case_for_reuse'!M8</f>
        <v>120.22053712673717</v>
      </c>
      <c r="AN4" s="20" t="s">
        <v>232</v>
      </c>
      <c r="AO4" s="66">
        <f>(('New build case_for_reuse'!M2*Inventory!Z19)+('New build case_for_reuse'!M5*Inventory!Z20)+('New build case_for_reuse'!M6*Inventory!Z21)+('New build case_for_reuse'!M7*Inventory!Z22))/'New build case_for_reuse'!M8</f>
        <v>290.67517595605574</v>
      </c>
      <c r="AP4" s="78"/>
      <c r="AQ4" s="20" t="s">
        <v>232</v>
      </c>
      <c r="AR4" s="66">
        <f>(('New build case_for_reuse'!M3*Inventory!Z30*Inventory!Z24)+('New build case_for_reuse'!M5*Inventory!Z31*Inventory!Z24))/'New build case_for_reuse'!M8</f>
        <v>6.0929117417392602</v>
      </c>
      <c r="AS4" s="55"/>
      <c r="AT4" s="74">
        <f>SUM(AL4+AO4+AR4)</f>
        <v>416.98862482453217</v>
      </c>
      <c r="AU4" s="55"/>
      <c r="AV4" s="130" t="s">
        <v>126</v>
      </c>
      <c r="AW4" s="131" t="s">
        <v>125</v>
      </c>
      <c r="AZ4" s="56"/>
      <c r="BA4" s="57"/>
    </row>
    <row r="5" spans="1:53" x14ac:dyDescent="0.35">
      <c r="A5" s="20" t="s">
        <v>233</v>
      </c>
      <c r="B5" s="71">
        <f>('New build case_for_reuse'!M2*Inventory!M21+'New build case_for_reuse'!M5*Inventory!M17)/'New build case_for_reuse'!M8</f>
        <v>266.55644224949248</v>
      </c>
      <c r="C5" s="71">
        <f>((('New build case_for_reuse'!M4*Inventory!Z30*Inventory!M18)+(Inventory!Z30*Inventory!M19))+('New build case_for_reuse'!M5*Inventory!Z31*Inventory!M18)+(Inventory!Z31*Inventory!M19))/'New build case_for_reuse'!M8</f>
        <v>10.360381931336772</v>
      </c>
      <c r="D5" s="71">
        <f>40+(0.05*(B5+C5))</f>
        <v>53.84584120904146</v>
      </c>
      <c r="E5" s="20"/>
      <c r="F5" s="20"/>
      <c r="G5" s="20"/>
      <c r="H5" s="20"/>
      <c r="I5" s="20"/>
      <c r="J5" s="28">
        <f t="shared" si="0"/>
        <v>330.76266538987068</v>
      </c>
      <c r="K5" s="28">
        <f t="shared" ref="K5:K8" si="1">SUM(I5:J5)</f>
        <v>330.76266538987068</v>
      </c>
      <c r="M5" s="20" t="s">
        <v>233</v>
      </c>
      <c r="N5" s="75">
        <f>('New build case_for_reuse'!M2*Inventory!T20+'New build case_for_reuse'!M5*Inventory!T17)/'New build case_for_reuse'!M8</f>
        <v>2055.3081716902952</v>
      </c>
      <c r="O5" s="75">
        <f>('New build case_for_reuse'!M4*Inventory!T18*Inventory!Z30*1.7+'New build case_for_reuse'!M5*Inventory!T18*Inventory!Z31*1.7)/'New build case_for_reuse'!M8</f>
        <v>170.83351104470881</v>
      </c>
      <c r="P5" s="75">
        <f>(('New build case_for_reuse'!M2*Inventory!Z12)/'New build case_for_reuse'!M8)+(0.05*('CirCrete Indicator Calculation'!O5+'CirCrete Indicator Calculation'!N5))</f>
        <v>114.80412084188885</v>
      </c>
      <c r="Q5" s="20"/>
      <c r="R5" s="20"/>
      <c r="S5" s="20"/>
      <c r="T5" s="20"/>
      <c r="U5" s="20"/>
      <c r="V5" s="74">
        <f t="shared" ref="V5" si="2">SUM(N5:T5)</f>
        <v>2340.945803576893</v>
      </c>
      <c r="W5" s="74">
        <f t="shared" ref="W5:W7" si="3">SUM(U5:V5)</f>
        <v>2340.945803576893</v>
      </c>
      <c r="X5" s="55"/>
      <c r="Y5" s="20" t="s">
        <v>233</v>
      </c>
      <c r="Z5" s="21">
        <f>(('New build case_for_reuse'!M4+'New build case_for_reuse'!M5)/'New build case_for_reuse'!M8)*1000</f>
        <v>2405.4439841178373</v>
      </c>
      <c r="AA5" s="20">
        <v>0</v>
      </c>
      <c r="AB5" s="20">
        <v>0</v>
      </c>
      <c r="AC5" s="20"/>
      <c r="AD5" s="20"/>
      <c r="AE5" s="20"/>
      <c r="AF5" s="20"/>
      <c r="AG5" s="20"/>
      <c r="AH5" s="74">
        <f t="shared" ref="AH5:AH8" si="4">SUM(Z5:AF5)</f>
        <v>2405.4439841178373</v>
      </c>
      <c r="AI5" s="74">
        <f t="shared" ref="AI5:AI11" si="5">SUM(AG5:AH5)</f>
        <v>2405.4439841178373</v>
      </c>
      <c r="AJ5" s="55"/>
      <c r="AK5" s="20" t="s">
        <v>233</v>
      </c>
      <c r="AL5" s="66">
        <f>('New build case_for_reuse'!M2*Inventory!AF19+'New build case_for_reuse'!M5*Inventory!AF17)/'New build case_for_reuse'!M8</f>
        <v>105.584240900422</v>
      </c>
      <c r="AN5" s="20" t="s">
        <v>233</v>
      </c>
      <c r="AO5" s="66">
        <f>(('New build case_for_reuse'!M2*Inventory!Z19)+('New build case_for_reuse'!M5*Inventory!Z20)+('New build case_for_reuse'!M6*Inventory!Z21)+('New build case_for_reuse'!M7*Inventory!Z22))/'New build case_for_reuse'!M8</f>
        <v>290.67517595605574</v>
      </c>
      <c r="AP5" s="78"/>
      <c r="AQ5" s="20" t="s">
        <v>233</v>
      </c>
      <c r="AR5" s="66">
        <f>(('New build case_for_reuse'!M4*Inventory!Z30*Inventory!Z24)+('New build case_for_reuse'!M5*Inventory!Z31*Inventory!Z24))/'New build case_for_reuse'!M8</f>
        <v>5.8114002869756014</v>
      </c>
      <c r="AS5" s="55"/>
      <c r="AT5" s="74">
        <f t="shared" ref="AT5:AT14" si="6">SUM(AL5+AO5+AR5)</f>
        <v>402.07081714345333</v>
      </c>
      <c r="AU5" s="55"/>
      <c r="AV5" s="130"/>
      <c r="AW5" s="132"/>
      <c r="AZ5" s="56"/>
      <c r="BA5" s="57"/>
    </row>
    <row r="6" spans="1:53" x14ac:dyDescent="0.35">
      <c r="A6" s="20" t="s">
        <v>234</v>
      </c>
      <c r="B6" s="72">
        <f>((('Carbonated cover_repair'!Q2+0.1*'New build case_for_reuse'!M2)*Inventory!M20)+(0.1*'New build case_for_reuse'!M5*Inventory!M17))/'Carbonated cover_repair'!Q8</f>
        <v>125.41955548503118</v>
      </c>
      <c r="C6" s="71">
        <f>((('Carbonated cover_repair'!Q3+0.1*'New build case_for_reuse'!M3)*Inventory!Z30*Inventory!M18)+(Inventory!Z30*Inventory!M19)+(0.1*'New build case_for_reuse'!M5*Inventory!M18*Inventory!Z31)+(Inventory!Z31*Inventory!M19))/'Carbonated cover_repair'!Q8</f>
        <v>3.3487252677387684</v>
      </c>
      <c r="D6" s="23"/>
      <c r="E6" s="72">
        <f>40*5</f>
        <v>200</v>
      </c>
      <c r="F6" s="72">
        <f>((('New build case_for_reuse'!M3+'New build case_for_reuse'!M5)*0.1*Inventory!Z34*Inventory!M18)+(Inventory!Z34*Inventory!M19))/'New build case_for_reuse'!M8</f>
        <v>2.2925386461450796</v>
      </c>
      <c r="G6" s="72">
        <f>('Carbonated cover_repair'!Q3*Inventory!Z26)/'New build case_for_reuse'!M8</f>
        <v>0.76189945739732923</v>
      </c>
      <c r="H6" s="20"/>
      <c r="I6" s="28">
        <f>-(B4)</f>
        <v>-410.5248062335699</v>
      </c>
      <c r="J6" s="28">
        <f t="shared" si="0"/>
        <v>331.82271885631235</v>
      </c>
      <c r="K6" s="28">
        <f t="shared" si="1"/>
        <v>-78.702087377257556</v>
      </c>
      <c r="M6" s="20" t="s">
        <v>234</v>
      </c>
      <c r="N6" s="23">
        <f>((('Carbonated cover_repair'!Q2+0.1*'New build case_for_reuse'!M2)*Inventory!T19)+(0.1*'New build case_for_reuse'!M5*Inventory!T17))/'Carbonated cover_repair'!Q8</f>
        <v>725.88588472061053</v>
      </c>
      <c r="O6" s="75">
        <f>((('Carbonated cover_repair'!Q3+0.1*'New build case_for_reuse'!M3)*Inventory!T18*Inventory!Z30*1.7)+(0.1*'New build case_for_reuse'!M5*Inventory!T18*Inventory!Z31*1.7))/'New build case_for_reuse'!M8</f>
        <v>54.437609400055614</v>
      </c>
      <c r="P6" s="23"/>
      <c r="Q6" s="75">
        <f>('New build case_for_reuse'!M2*Inventory!Z35)/'New build case_for_reuse'!M8</f>
        <v>140.97369336824622</v>
      </c>
      <c r="R6" s="75">
        <f>(('New build case_for_reuse'!M3+'New build case_for_reuse'!M5)*0.1*Inventory!Z34*Inventory!T18*1.7)/'New build case_for_reuse'!M8</f>
        <v>37.645363439862827</v>
      </c>
      <c r="S6" s="75">
        <f>(('Carbonated cover_repair'!Q2)*Inventory!Z11)/'New build case_for_reuse'!M8</f>
        <v>21.740231509728165</v>
      </c>
      <c r="T6" s="20"/>
      <c r="U6" s="21">
        <f>-(N4)</f>
        <v>-2698.8094408144439</v>
      </c>
      <c r="V6" s="74">
        <f t="shared" ref="V6:V11" si="7">SUM(N6:T6)</f>
        <v>980.68278243850341</v>
      </c>
      <c r="W6" s="74">
        <f>SUM(U6:V6)</f>
        <v>-1718.1266583759405</v>
      </c>
      <c r="X6" s="55"/>
      <c r="Y6" s="20" t="s">
        <v>234</v>
      </c>
      <c r="Z6" s="20"/>
      <c r="AA6" s="20"/>
      <c r="AB6" s="20"/>
      <c r="AC6" s="20">
        <v>0</v>
      </c>
      <c r="AD6" s="20">
        <v>0</v>
      </c>
      <c r="AE6" s="21">
        <f>(((0.1*('New build case_for_reuse'!M3+'New build case_for_reuse'!M5))+('Carbonated cover_repair'!Q3+'Carbonated cover_repair'!Q5))/'Carbonated cover_repair'!Q8)*1000</f>
        <v>871.95512010861796</v>
      </c>
      <c r="AF6" s="20">
        <v>0</v>
      </c>
      <c r="AG6" s="21">
        <f>AE6-Z4</f>
        <v>-1673.3703322147649</v>
      </c>
      <c r="AH6" s="74">
        <f>SUM(Z6:AF6)</f>
        <v>871.95512010861796</v>
      </c>
      <c r="AI6" s="74">
        <f t="shared" si="5"/>
        <v>-801.4152121061469</v>
      </c>
      <c r="AJ6" s="55"/>
      <c r="AK6" s="20" t="s">
        <v>234</v>
      </c>
      <c r="AL6" s="23">
        <f>(('Carbonated cover_repair'!Q2*Inventory!AF18))/'New build case_for_reuse'!M8</f>
        <v>15.648386744899561</v>
      </c>
      <c r="AM6" s="18"/>
      <c r="AN6" s="20" t="s">
        <v>234</v>
      </c>
      <c r="AO6" s="23">
        <f>(((('Carbonated cover_repair'!Q2*Inventory!Z19)+('Carbonated cover_repair'!Q6*Inventory!Z21)+('Carbonated cover_repair'!Q7*Inventory!Z22)+('New build case_for_reuse'!M8*Inventory!Z17)))/'New build case_for_reuse'!M8)+0.1*AO8</f>
        <v>155.95711541750279</v>
      </c>
      <c r="AP6" s="24"/>
      <c r="AQ6" s="20" t="s">
        <v>234</v>
      </c>
      <c r="AR6" s="23">
        <f>((('Carbonated cover_repair'!Q3*Inventory!Z30*Inventory!Z24)+(('New build case_for_reuse'!M3+'New build case_for_reuse'!M5)*0.1*Inventory!Z34*Inventory!Z24))/'New build case_for_reuse'!M8)</f>
        <v>2.5231798001387151</v>
      </c>
      <c r="AS6" s="19"/>
      <c r="AT6" s="74">
        <f t="shared" si="6"/>
        <v>174.12868196254107</v>
      </c>
      <c r="AU6" s="55"/>
      <c r="AV6" s="130"/>
      <c r="AW6" s="19"/>
      <c r="AZ6" s="18"/>
      <c r="BA6" s="18"/>
    </row>
    <row r="7" spans="1:53" x14ac:dyDescent="0.35">
      <c r="A7" s="20" t="s">
        <v>235</v>
      </c>
      <c r="B7" s="20"/>
      <c r="C7" s="20"/>
      <c r="D7" s="20"/>
      <c r="E7" s="72">
        <f>0.3*E6</f>
        <v>60</v>
      </c>
      <c r="F7" s="72">
        <f>((('New build case_for_reuse'!M3*Inventory!Z33*Inventory!M18)+(Inventory!Z33*Inventory!M19))+('New build case_for_reuse'!M5*Inventory!Z33*Inventory!M18)+(Inventory!Z33*Inventory!M19))/'New build case_for_reuse'!M8</f>
        <v>22.727046876237832</v>
      </c>
      <c r="G7" s="72">
        <f>('New build case_for_reuse'!M3*Inventory!Z28)/'New build case_for_reuse'!M8</f>
        <v>2.4488837858450274E-4</v>
      </c>
      <c r="H7" s="20"/>
      <c r="I7" s="28">
        <f>-((('New build case_for_reuse'!M2*0.95*(Inventory!$Q$5+Inventory!$P$5)*Inventory!$M$13)+('New build case_for_reuse'!M5*0.95*Inventory!$M$17))/'New build case_for_reuse'!M8)</f>
        <v>-81.079062029401015</v>
      </c>
      <c r="J7" s="28">
        <f t="shared" si="0"/>
        <v>82.727291764616425</v>
      </c>
      <c r="K7" s="28">
        <f t="shared" si="1"/>
        <v>1.6482297352154092</v>
      </c>
      <c r="M7" s="20" t="s">
        <v>235</v>
      </c>
      <c r="N7" s="20"/>
      <c r="O7" s="20"/>
      <c r="P7" s="20"/>
      <c r="Q7" s="75">
        <f>('New build case_for_reuse'!M2*Inventory!Z35)/'New build case_for_reuse'!M8</f>
        <v>140.97369336824622</v>
      </c>
      <c r="R7" s="75">
        <f>(('New build case_for_reuse'!M3+'New build case_for_reuse'!M5)*Inventory!Z33*Inventory!T18*1.7)/'New build case_for_reuse'!M8</f>
        <v>376.45363439862837</v>
      </c>
      <c r="S7" s="75">
        <f>('New build case_for_reuse'!M3*Inventory!Z29)/'New build case_for_reuse'!M8</f>
        <v>4.897767571690056E-5</v>
      </c>
      <c r="T7" s="20"/>
      <c r="U7" s="21">
        <f>-((('New build case_for_reuse'!M2*0.95*Inventory!$P$5*Inventory!$T$13)+('New build case_for_reuse'!M2*0.95*Inventory!$Q$5*Inventory!$T$14)+('New build case_for_reuse'!M5*0.95*Inventory!$T$17))/'New build case_for_reuse'!M8)</f>
        <v>-966.26681798305572</v>
      </c>
      <c r="V7" s="74">
        <f t="shared" si="7"/>
        <v>517.42737674455032</v>
      </c>
      <c r="W7" s="74">
        <f t="shared" si="3"/>
        <v>-448.8394412385054</v>
      </c>
      <c r="X7" s="55"/>
      <c r="Y7" s="20" t="s">
        <v>235</v>
      </c>
      <c r="Z7" s="20"/>
      <c r="AA7" s="20"/>
      <c r="AB7" s="20"/>
      <c r="AC7" s="20">
        <v>0</v>
      </c>
      <c r="AD7" s="20">
        <v>0</v>
      </c>
      <c r="AE7" s="20">
        <v>0</v>
      </c>
      <c r="AF7" s="20">
        <v>0</v>
      </c>
      <c r="AG7" s="21">
        <f>(('New build case_for_reuse'!M2*Inventory!P5)+(0.05*((Inventory!Q5*'New build case_for_reuse'!M2)+'New build case_for_reuse'!M5))-((('New build case_for_reuse'!M2*Inventory!$Q$5)+(1000*'New build case_for_reuse'!$M$5))*0.95))/'New build case_for_reuse'!M8</f>
        <v>-359.88059050640624</v>
      </c>
      <c r="AH7" s="74">
        <f t="shared" si="4"/>
        <v>0</v>
      </c>
      <c r="AI7" s="74">
        <f t="shared" si="5"/>
        <v>-359.88059050640624</v>
      </c>
      <c r="AJ7" s="55"/>
      <c r="AK7" s="20" t="s">
        <v>235</v>
      </c>
      <c r="AL7" s="23">
        <v>0</v>
      </c>
      <c r="AM7" s="18"/>
      <c r="AN7" s="20" t="s">
        <v>235</v>
      </c>
      <c r="AO7" s="23">
        <f>(('New build case_for_reuse'!M8*Inventory!Z17)+('New build case_for_reuse'!M3*Inventory!$Z$23)+('New build case_for_reuse'!M5*Inventory!$AF$17))/'New build case_for_reuse'!M8</f>
        <v>168.76537220951121</v>
      </c>
      <c r="AP7" s="24"/>
      <c r="AQ7" s="20" t="s">
        <v>235</v>
      </c>
      <c r="AR7" s="23">
        <f>(('New build case_for_reuse'!M3+'New build case_for_reuse'!M5)*Inventory!Z33*Inventory!Z24)/'New build case_for_reuse'!M8</f>
        <v>12.806168682002021</v>
      </c>
      <c r="AS7" s="18"/>
      <c r="AT7" s="74">
        <f t="shared" si="6"/>
        <v>181.57154089151322</v>
      </c>
      <c r="AU7" s="55"/>
      <c r="AV7" s="130"/>
      <c r="AW7" s="18"/>
      <c r="AZ7" s="18"/>
      <c r="BA7" s="18"/>
    </row>
    <row r="8" spans="1:53" x14ac:dyDescent="0.35">
      <c r="A8" s="20" t="s">
        <v>236</v>
      </c>
      <c r="B8" s="20"/>
      <c r="C8" s="20"/>
      <c r="D8" s="20"/>
      <c r="E8" s="72">
        <f>0.25*E6</f>
        <v>50</v>
      </c>
      <c r="F8" s="72">
        <f>((('New build case_for_reuse'!M3+'New build case_for_reuse'!M5)*Inventory!Z32*Inventory!M18)+(Inventory!Z32*Inventory!M19))/'New build case_for_reuse'!M8</f>
        <v>22.702254428086206</v>
      </c>
      <c r="G8" s="20"/>
      <c r="H8" s="72">
        <f>(('New build case_for_reuse'!M3*Inventory!Z26)+('New build case_for_reuse'!M5*Inventory!Z27))/'New build case_for_reuse'!M8</f>
        <v>3.1438248581614054</v>
      </c>
      <c r="I8" s="69"/>
      <c r="J8" s="28">
        <f t="shared" si="0"/>
        <v>75.846079286247615</v>
      </c>
      <c r="K8" s="28">
        <f t="shared" si="1"/>
        <v>75.846079286247615</v>
      </c>
      <c r="M8" s="20" t="s">
        <v>236</v>
      </c>
      <c r="N8" s="20"/>
      <c r="O8" s="20"/>
      <c r="P8" s="20"/>
      <c r="Q8" s="75">
        <f>('New build case_for_reuse'!M2*Inventory!Z35)/'New build case_for_reuse'!M8</f>
        <v>140.97369336824622</v>
      </c>
      <c r="R8" s="75">
        <f>(('New build case_for_reuse'!M3+'New build case_for_reuse'!M5)*Inventory!Z32*Inventory!T18*1.7)/'New build case_for_reuse'!M8</f>
        <v>376.45363439862837</v>
      </c>
      <c r="S8" s="20"/>
      <c r="T8" s="23">
        <f>(('New build case_for_reuse'!M3*Inventory!Z25)+('New build case_for_reuse'!M5*Inventory!Z13))/'New build case_for_reuse'!M8</f>
        <v>102.03460273441914</v>
      </c>
      <c r="U8" s="23"/>
      <c r="V8" s="74">
        <f t="shared" si="7"/>
        <v>619.46193050129364</v>
      </c>
      <c r="W8" s="74">
        <f>SUM(U8:V8)</f>
        <v>619.46193050129364</v>
      </c>
      <c r="X8" s="55"/>
      <c r="Y8" s="20" t="s">
        <v>236</v>
      </c>
      <c r="Z8" s="20"/>
      <c r="AA8" s="20"/>
      <c r="AB8" s="20"/>
      <c r="AC8" s="20">
        <v>0</v>
      </c>
      <c r="AD8" s="20">
        <v>0</v>
      </c>
      <c r="AE8" s="20">
        <v>0</v>
      </c>
      <c r="AF8" s="20">
        <v>0</v>
      </c>
      <c r="AG8" s="21">
        <f>Z4</f>
        <v>2545.3254523233827</v>
      </c>
      <c r="AH8" s="74">
        <f t="shared" si="4"/>
        <v>0</v>
      </c>
      <c r="AI8" s="74">
        <f t="shared" si="5"/>
        <v>2545.3254523233827</v>
      </c>
      <c r="AJ8" s="55"/>
      <c r="AK8" s="20" t="s">
        <v>236</v>
      </c>
      <c r="AL8" s="23">
        <v>0</v>
      </c>
      <c r="AM8" s="18"/>
      <c r="AN8" s="20" t="s">
        <v>236</v>
      </c>
      <c r="AO8" s="23">
        <f>(('New build case_for_reuse'!M8*Inventory!Z17)+(Inventory!Z18*('New build case_for_reuse'!M3+'New build case_for_reuse'!M5)))/'New build case_for_reuse'!M8</f>
        <v>339.87772868221737</v>
      </c>
      <c r="AP8" s="24"/>
      <c r="AQ8" s="20" t="s">
        <v>236</v>
      </c>
      <c r="AR8" s="23">
        <f>(('New build case_for_reuse'!M3+'New build case_for_reuse'!M5)*Inventory!Z32*Inventory!Z24)/'New build case_for_reuse'!M8</f>
        <v>12.806168682002021</v>
      </c>
      <c r="AS8" s="19"/>
      <c r="AT8" s="74">
        <f t="shared" si="6"/>
        <v>352.68389736421938</v>
      </c>
      <c r="AU8" s="55"/>
      <c r="AV8" s="130"/>
      <c r="AW8" s="19"/>
      <c r="AZ8" s="18"/>
      <c r="BA8" s="18"/>
    </row>
    <row r="9" spans="1:53" x14ac:dyDescent="0.35">
      <c r="A9" s="20" t="s">
        <v>161</v>
      </c>
      <c r="B9" s="52">
        <f>((('Carbonated cover_repair'!Q2*0.5+0.1*0.5*'New build case_for_reuse'!M2)*Inventory!M20)+(0.1*0.5*'New build case_for_reuse'!M5*Inventory!M17))/('Carbonated cover_repair'!Q8)</f>
        <v>62.709777742515591</v>
      </c>
      <c r="C9" s="20">
        <f>((('Carbonated cover_repair'!Q3*0.5+0.1*0.5*'New build case_for_reuse'!M3)*Inventory!Z30*Inventory!M18)+(Inventory!Z30*Inventory!M19)+(0.1*0.5*'New build case_for_reuse'!M5*Inventory!M18*Inventory!Z31)+(Inventory!Z31*Inventory!M19))/'Carbonated cover_repair'!Q8</f>
        <v>1.7090720612816539</v>
      </c>
      <c r="D9" s="20"/>
      <c r="E9" s="20">
        <f>E6*0.5</f>
        <v>100</v>
      </c>
      <c r="F9" s="20">
        <f>((('New build case_for_reuse'!M3*0.5+'New build case_for_reuse'!M5)*Inventory!Z34*Inventory!M18)+(Inventory!Z34*Inventory!M19))/'New build case_for_reuse'!M8</f>
        <v>11.793144770598833</v>
      </c>
      <c r="G9" s="20">
        <f>('Carbonated cover_repair'!Q3*0.5*Inventory!Z26)/'New build case_for_reuse'!M8</f>
        <v>0.38094972869866461</v>
      </c>
      <c r="H9" s="20"/>
      <c r="I9" s="21">
        <f>-(0.5*B4)</f>
        <v>-205.26240311678495</v>
      </c>
      <c r="J9" s="21">
        <f t="shared" si="0"/>
        <v>176.59294430309473</v>
      </c>
      <c r="K9" s="21">
        <f>SUM(I9:J9)</f>
        <v>-28.669458813690227</v>
      </c>
      <c r="M9" s="20" t="s">
        <v>161</v>
      </c>
      <c r="N9" s="20">
        <f>((('Carbonated cover_repair'!Q2*0.5+0.1*0.5*'New build case_for_reuse'!M2)*Inventory!T19)+(0.1*0.5*'New build case_for_reuse'!M5*Inventory!T17))/'Carbonated cover_repair'!Q8</f>
        <v>362.94294236030527</v>
      </c>
      <c r="O9" s="20">
        <f>((('Carbonated cover_repair'!Q3*0.5+0.1*0.5*'New build case_for_reuse'!M3)*Inventory!T18*Inventory!Z30*1.7)+(0.1*0.5*'New build case_for_reuse'!M5*Inventory!T18*Inventory!Z31*1.7))/'New build case_for_reuse'!M8</f>
        <v>27.218804700027807</v>
      </c>
      <c r="P9" s="20"/>
      <c r="Q9" s="75">
        <f>Q6*0.5</f>
        <v>70.486846684123108</v>
      </c>
      <c r="R9" s="20">
        <f>(('New build case_for_reuse'!M3*0.5+'New build case_for_reuse'!M5*0.5)*Inventory!Z34*Inventory!T18*1.7)/'New build case_for_reuse'!M8</f>
        <v>188.22681719931418</v>
      </c>
      <c r="S9" s="20">
        <f>(('Carbonated cover_repair'!Q2*0.5)*Inventory!Z11)/'New build case_for_reuse'!M8</f>
        <v>10.870115754864083</v>
      </c>
      <c r="T9" s="20"/>
      <c r="U9" s="23">
        <f>-(0.5*N4)</f>
        <v>-1349.4047204072219</v>
      </c>
      <c r="V9" s="74">
        <f t="shared" si="7"/>
        <v>659.74552669863442</v>
      </c>
      <c r="W9" s="23">
        <f>SUM(U9:V9)</f>
        <v>-689.65919370858751</v>
      </c>
      <c r="X9" s="24"/>
      <c r="Y9" s="20" t="s">
        <v>161</v>
      </c>
      <c r="Z9" s="20"/>
      <c r="AA9" s="20"/>
      <c r="AB9" s="20"/>
      <c r="AC9" s="20">
        <v>0</v>
      </c>
      <c r="AD9" s="20">
        <v>0</v>
      </c>
      <c r="AE9" s="77">
        <f>(((0.1*0.5*('New build case_for_reuse'!M3+'New build case_for_reuse'!M5))+('Carbonated cover_repair'!Q3*0.5+'Carbonated cover_repair'!Q5*0.5))/'Carbonated cover_repair'!Q8)*1000</f>
        <v>435.97756005430898</v>
      </c>
      <c r="AF9" s="20">
        <v>0</v>
      </c>
      <c r="AG9" s="77">
        <f>AE9-0.5*Z4</f>
        <v>-836.68516610738243</v>
      </c>
      <c r="AH9" s="74">
        <f>SUM(Z9:AF9)</f>
        <v>435.97756005430898</v>
      </c>
      <c r="AI9" s="74">
        <f t="shared" si="5"/>
        <v>-400.70760605307345</v>
      </c>
      <c r="AJ9" s="55"/>
      <c r="AK9" s="20" t="s">
        <v>161</v>
      </c>
      <c r="AL9" s="23">
        <f>(('Carbonated cover_repair'!Q2*0.5*Inventory!AF18))/'New build case_for_reuse'!M8</f>
        <v>7.8241933724497805</v>
      </c>
      <c r="AN9" s="20" t="s">
        <v>161</v>
      </c>
      <c r="AO9" s="21">
        <f>(((('Carbonated cover_repair'!Q2*0.5*Inventory!Z19)+('Carbonated cover_repair'!Q6*0.5*Inventory!Z21)+('Carbonated cover_repair'!Q7*0.5*Inventory!Z22)+('New build case_for_reuse'!M8*0.5*Inventory!Z17)))/'New build case_for_reuse'!M8)+0.1*0.5*AO8</f>
        <v>77.978557708751396</v>
      </c>
      <c r="AP9" s="19"/>
      <c r="AQ9" s="20" t="s">
        <v>161</v>
      </c>
      <c r="AR9" s="23">
        <f>((('Carbonated cover_repair'!Q3*0.5*Inventory!Z30*Inventory!Z24)+(('New build case_for_reuse'!M3+'New build case_for_reuse'!M5)*0.1*0.5*Inventory!Z34*Inventory!Z24))/'New build case_for_reuse'!M8)</f>
        <v>1.2615899000693576</v>
      </c>
      <c r="AT9" s="74">
        <f t="shared" si="6"/>
        <v>87.064340981270533</v>
      </c>
      <c r="AU9" s="55"/>
    </row>
    <row r="10" spans="1:53" x14ac:dyDescent="0.35">
      <c r="A10" s="20" t="s">
        <v>162</v>
      </c>
      <c r="B10" s="20"/>
      <c r="C10" s="20"/>
      <c r="D10" s="20"/>
      <c r="E10" s="72">
        <f>0.3*E6*0.5</f>
        <v>30</v>
      </c>
      <c r="F10" s="20">
        <f>((('New build case_for_reuse'!M3*0.5*Inventory!Z33*Inventory!M18)+(Inventory!Z33*Inventory!M19))+('New build case_for_reuse'!M5*0.5*Inventory!Z33*Inventory!M18)+(Inventory!Z33*Inventory!M19))/'New build case_for_reuse'!M8</f>
        <v>11.388315886270536</v>
      </c>
      <c r="G10" s="20">
        <f>('New build case_for_reuse'!M3*0.5*Inventory!Z28)/'New build case_for_reuse'!M8</f>
        <v>1.2244418929225137E-4</v>
      </c>
      <c r="H10" s="20"/>
      <c r="I10" s="21">
        <f>-((('New build case_for_reuse'!M2*0.5*0.95*(Inventory!$Q$5+Inventory!$P$5)*Inventory!$M$13)+('New build case_for_reuse'!M5*0.5*0.95*Inventory!$M$17))/'New build case_for_reuse'!M8)</f>
        <v>-40.539531014700508</v>
      </c>
      <c r="J10" s="21">
        <f t="shared" si="0"/>
        <v>41.388438330459827</v>
      </c>
      <c r="K10" s="21">
        <f>SUM(I10:J10)</f>
        <v>0.84890731575931966</v>
      </c>
      <c r="M10" s="20" t="s">
        <v>162</v>
      </c>
      <c r="N10" s="20"/>
      <c r="O10" s="20"/>
      <c r="P10" s="20"/>
      <c r="Q10" s="75">
        <f>Q7*0.5</f>
        <v>70.486846684123108</v>
      </c>
      <c r="R10" s="20">
        <f>(('New build case_for_reuse'!M3*0.5+'New build case_for_reuse'!M5*0.5)*Inventory!Z33*Inventory!T18*1.7)/'New build case_for_reuse'!M8</f>
        <v>188.22681719931418</v>
      </c>
      <c r="S10" s="20">
        <f>('New build case_for_reuse'!M3*0.5*Inventory!Z29)/'New build case_for_reuse'!M8</f>
        <v>2.448883785845028E-5</v>
      </c>
      <c r="T10" s="20"/>
      <c r="U10" s="20">
        <f>-((('New build case_for_reuse'!M2*0.95*0.5*Inventory!$P$5*Inventory!$T$13)+('New build case_for_reuse'!M2*0.95*0.5*Inventory!$Q$5*Inventory!$T$14)+('New build case_for_reuse'!M5*0.95*0.5*Inventory!$T$17))/'New build case_for_reuse'!M8)</f>
        <v>-483.13340899152786</v>
      </c>
      <c r="V10" s="74">
        <f t="shared" si="7"/>
        <v>258.71368837227516</v>
      </c>
      <c r="W10" s="74">
        <f>SUM(U10:V10)</f>
        <v>-224.4197206192527</v>
      </c>
      <c r="X10" s="55"/>
      <c r="Y10" s="20" t="s">
        <v>162</v>
      </c>
      <c r="Z10" s="20"/>
      <c r="AA10" s="20"/>
      <c r="AB10" s="20"/>
      <c r="AC10" s="20">
        <v>0</v>
      </c>
      <c r="AD10" s="20">
        <v>0</v>
      </c>
      <c r="AE10" s="20">
        <v>0</v>
      </c>
      <c r="AF10" s="20">
        <v>0</v>
      </c>
      <c r="AG10" s="77">
        <f>((('New build case_for_reuse'!M2*Inventory!P5*0.5)+(0.05*0.5*((Inventory!Q5*'New build case_for_reuse'!M2)+'New build case_for_reuse'!M5))-((('New build case_for_reuse'!M2*Inventory!$Q$5*0.5)+(1000*'New build case_for_reuse'!$M$5*0.5))*0.95))/'New build case_for_reuse'!M8)</f>
        <v>-179.94029525320312</v>
      </c>
      <c r="AH10" s="74">
        <f t="shared" ref="AH10:AH11" si="8">SUM(Z10:AF10)</f>
        <v>0</v>
      </c>
      <c r="AI10" s="74">
        <f t="shared" si="5"/>
        <v>-179.94029525320312</v>
      </c>
      <c r="AJ10" s="55"/>
      <c r="AK10" s="20" t="s">
        <v>162</v>
      </c>
      <c r="AL10" s="23">
        <v>0</v>
      </c>
      <c r="AN10" s="20" t="s">
        <v>162</v>
      </c>
      <c r="AO10" s="23">
        <f>(('New build case_for_reuse'!M8*0.5*Inventory!Z17)+('New build case_for_reuse'!M3*0.5*Inventory!$Z$23)+('New build case_for_reuse'!M5*0.5*Inventory!$AF$17))/'New build case_for_reuse'!M8</f>
        <v>84.382686104755606</v>
      </c>
      <c r="AP10" s="24"/>
      <c r="AQ10" s="20" t="s">
        <v>162</v>
      </c>
      <c r="AR10" s="23">
        <f>(('New build case_for_reuse'!M3*0.5+'New build case_for_reuse'!M5)*Inventory!Z33*Inventory!Z24)/'New build case_for_reuse'!M8</f>
        <v>6.6456954082356248</v>
      </c>
      <c r="AT10" s="74">
        <f t="shared" si="6"/>
        <v>91.028381512991231</v>
      </c>
      <c r="AU10" s="55"/>
    </row>
    <row r="11" spans="1:53" x14ac:dyDescent="0.35">
      <c r="A11" s="20" t="s">
        <v>163</v>
      </c>
      <c r="B11" s="20"/>
      <c r="C11" s="20"/>
      <c r="D11" s="20"/>
      <c r="E11" s="72">
        <f>0.25*E6*0.5</f>
        <v>25</v>
      </c>
      <c r="F11" s="20">
        <f>((('New build case_for_reuse'!M3*0.5+'New build case_for_reuse'!M5*0.5)*Inventory!Z32*Inventory!M18)+(Inventory!Z32*Inventory!M19))/'New build case_for_reuse'!M8</f>
        <v>11.363523438118914</v>
      </c>
      <c r="G11" s="20"/>
      <c r="H11" s="20">
        <f>(('New build case_for_reuse'!M3*0.5*Inventory!Z26)+('New build case_for_reuse'!M5*0.5*Inventory!Z27))/'New build case_for_reuse'!M8</f>
        <v>1.5719124290807027</v>
      </c>
      <c r="I11" s="21"/>
      <c r="J11" s="21">
        <f t="shared" si="0"/>
        <v>37.935435867199622</v>
      </c>
      <c r="K11" s="21">
        <f>SUM(I11:J11)</f>
        <v>37.935435867199622</v>
      </c>
      <c r="M11" s="20" t="s">
        <v>163</v>
      </c>
      <c r="N11" s="20"/>
      <c r="O11" s="20"/>
      <c r="P11" s="20"/>
      <c r="Q11" s="75">
        <f>Q8*0.5</f>
        <v>70.486846684123108</v>
      </c>
      <c r="R11" s="20">
        <f>(('New build case_for_reuse'!M3*0.5+'New build case_for_reuse'!M5*0.5)*Inventory!Z32*Inventory!T18*1.7)/'New build case_for_reuse'!M8</f>
        <v>188.22681719931418</v>
      </c>
      <c r="S11" s="20"/>
      <c r="T11" s="20">
        <f>(('New build case_for_reuse'!M3*0.5*Inventory!Z25)+('New build case_for_reuse'!M5*0.5*Inventory!Z13))/'New build case_for_reuse'!M8</f>
        <v>51.017301367209569</v>
      </c>
      <c r="U11" s="20"/>
      <c r="V11" s="74">
        <f t="shared" si="7"/>
        <v>309.73096525064682</v>
      </c>
      <c r="W11" s="74">
        <f>SUM(U11:V11)</f>
        <v>309.73096525064682</v>
      </c>
      <c r="X11" s="55"/>
      <c r="Y11" s="20" t="s">
        <v>163</v>
      </c>
      <c r="Z11" s="20"/>
      <c r="AA11" s="20"/>
      <c r="AB11" s="20"/>
      <c r="AC11" s="20">
        <v>0</v>
      </c>
      <c r="AD11" s="20">
        <v>0</v>
      </c>
      <c r="AE11" s="20">
        <v>0</v>
      </c>
      <c r="AF11" s="20">
        <v>0</v>
      </c>
      <c r="AG11" s="77">
        <f>Z4/2</f>
        <v>1272.6627261616914</v>
      </c>
      <c r="AH11" s="74">
        <f t="shared" si="8"/>
        <v>0</v>
      </c>
      <c r="AI11" s="74">
        <f t="shared" si="5"/>
        <v>1272.6627261616914</v>
      </c>
      <c r="AJ11" s="55"/>
      <c r="AK11" s="20" t="s">
        <v>163</v>
      </c>
      <c r="AL11" s="23">
        <v>0</v>
      </c>
      <c r="AN11" s="20" t="s">
        <v>163</v>
      </c>
      <c r="AO11" s="23">
        <f>(('New build case_for_reuse'!M8*0.5*Inventory!Z17)+(Inventory!Z18*('New build case_for_reuse'!M3*0.5+'New build case_for_reuse'!M5*0.5)))/'New build case_for_reuse'!M8</f>
        <v>169.93886434110868</v>
      </c>
      <c r="AP11" s="24"/>
      <c r="AQ11" s="20" t="s">
        <v>163</v>
      </c>
      <c r="AR11" s="23">
        <f>(('New build case_for_reuse'!M3*0.5+'New build case_for_reuse'!M5)*Inventory!Z32*Inventory!Z24)/'New build case_for_reuse'!M8</f>
        <v>6.6456954082356248</v>
      </c>
      <c r="AT11" s="74">
        <f t="shared" si="6"/>
        <v>176.58455974934429</v>
      </c>
      <c r="AU11" s="55"/>
    </row>
    <row r="12" spans="1:53" x14ac:dyDescent="0.35">
      <c r="A12" s="20" t="s">
        <v>237</v>
      </c>
      <c r="B12" s="20"/>
      <c r="C12" s="20"/>
      <c r="D12" s="20"/>
      <c r="E12" s="20"/>
      <c r="F12" s="20"/>
      <c r="G12" s="20"/>
      <c r="H12" s="20"/>
      <c r="I12" s="28">
        <f>I9+I10</f>
        <v>-245.80193413148547</v>
      </c>
      <c r="J12" s="28">
        <f>J9+J10</f>
        <v>217.98138263355455</v>
      </c>
      <c r="K12" s="28">
        <f>K9+K10</f>
        <v>-27.820551497930907</v>
      </c>
      <c r="M12" s="20" t="s">
        <v>237</v>
      </c>
      <c r="N12" s="20"/>
      <c r="O12" s="20"/>
      <c r="P12" s="20"/>
      <c r="Q12" s="20"/>
      <c r="R12" s="20"/>
      <c r="S12" s="20"/>
      <c r="T12" s="20"/>
      <c r="U12" s="21">
        <f>U9+U10</f>
        <v>-1832.5381293987498</v>
      </c>
      <c r="V12" s="21">
        <f>V9+V10</f>
        <v>918.45921507090952</v>
      </c>
      <c r="W12" s="21">
        <f>SUM(U12:V12)</f>
        <v>-914.07891432784027</v>
      </c>
      <c r="X12" s="19"/>
      <c r="Y12" s="20" t="s">
        <v>237</v>
      </c>
      <c r="Z12" s="20"/>
      <c r="AA12" s="20"/>
      <c r="AB12" s="20"/>
      <c r="AC12" s="20">
        <v>0</v>
      </c>
      <c r="AD12" s="20">
        <v>0</v>
      </c>
      <c r="AE12" s="20"/>
      <c r="AF12" s="20"/>
      <c r="AG12" s="21">
        <f>AG9+AG10</f>
        <v>-1016.6254613605855</v>
      </c>
      <c r="AH12" s="21">
        <f>AH9+AH10</f>
        <v>435.97756005430898</v>
      </c>
      <c r="AI12" s="21">
        <f>AG12+AH12</f>
        <v>-580.64790130627648</v>
      </c>
      <c r="AJ12" s="19"/>
      <c r="AK12" s="20" t="s">
        <v>237</v>
      </c>
      <c r="AL12" s="23">
        <f>AL9+AL10</f>
        <v>7.8241933724497805</v>
      </c>
      <c r="AN12" s="20" t="s">
        <v>237</v>
      </c>
      <c r="AO12" s="23">
        <f>AO9+AO10</f>
        <v>162.361243813507</v>
      </c>
      <c r="AP12" s="24"/>
      <c r="AQ12" s="20" t="s">
        <v>237</v>
      </c>
      <c r="AR12" s="23">
        <f>AR9+AR10</f>
        <v>7.9072853083049823</v>
      </c>
      <c r="AT12" s="74">
        <f t="shared" si="6"/>
        <v>178.09272249426175</v>
      </c>
      <c r="AU12" s="55"/>
    </row>
    <row r="13" spans="1:53" x14ac:dyDescent="0.35">
      <c r="A13" s="20" t="s">
        <v>238</v>
      </c>
      <c r="B13" s="20"/>
      <c r="C13" s="20"/>
      <c r="D13" s="20"/>
      <c r="E13" s="20"/>
      <c r="F13" s="20"/>
      <c r="G13" s="20"/>
      <c r="H13" s="20"/>
      <c r="I13" s="28">
        <f>I9+I11</f>
        <v>-205.26240311678495</v>
      </c>
      <c r="J13" s="28">
        <f>J9+J11</f>
        <v>214.52838017029435</v>
      </c>
      <c r="K13" s="28">
        <f>K9+K11</f>
        <v>9.2659770535093955</v>
      </c>
      <c r="M13" s="20" t="s">
        <v>238</v>
      </c>
      <c r="N13" s="20"/>
      <c r="O13" s="20"/>
      <c r="P13" s="20"/>
      <c r="Q13" s="20"/>
      <c r="R13" s="20"/>
      <c r="S13" s="20"/>
      <c r="T13" s="20"/>
      <c r="U13" s="21">
        <f>U9+U11</f>
        <v>-1349.4047204072219</v>
      </c>
      <c r="V13" s="21">
        <f>V9+V11</f>
        <v>969.47649194928124</v>
      </c>
      <c r="W13" s="21">
        <f t="shared" ref="W13:W14" si="9">SUM(U13:V13)</f>
        <v>-379.92822845794069</v>
      </c>
      <c r="X13" s="19"/>
      <c r="Y13" s="20" t="s">
        <v>238</v>
      </c>
      <c r="Z13" s="20"/>
      <c r="AA13" s="20"/>
      <c r="AB13" s="20"/>
      <c r="AC13" s="20">
        <v>0</v>
      </c>
      <c r="AD13" s="20">
        <v>0</v>
      </c>
      <c r="AE13" s="20"/>
      <c r="AF13" s="20"/>
      <c r="AG13" s="21">
        <f>AG9+AG11</f>
        <v>435.97756005430892</v>
      </c>
      <c r="AH13" s="21">
        <f>AH9+AH11</f>
        <v>435.97756005430898</v>
      </c>
      <c r="AI13" s="21">
        <f t="shared" ref="AI13:AI14" si="10">AG13+AH13</f>
        <v>871.95512010861785</v>
      </c>
      <c r="AJ13" s="19"/>
      <c r="AK13" s="20" t="s">
        <v>238</v>
      </c>
      <c r="AL13" s="23">
        <f>AL9+AL11</f>
        <v>7.8241933724497805</v>
      </c>
      <c r="AN13" s="20" t="s">
        <v>238</v>
      </c>
      <c r="AO13" s="23">
        <f>AO9+AO11</f>
        <v>247.91742204986008</v>
      </c>
      <c r="AP13" s="24"/>
      <c r="AQ13" s="20" t="s">
        <v>238</v>
      </c>
      <c r="AR13" s="23">
        <f>AR9+AR11</f>
        <v>7.9072853083049823</v>
      </c>
      <c r="AT13" s="74">
        <f t="shared" si="6"/>
        <v>263.64890073061486</v>
      </c>
      <c r="AU13" s="55"/>
    </row>
    <row r="14" spans="1:53" x14ac:dyDescent="0.35">
      <c r="A14" s="20" t="s">
        <v>239</v>
      </c>
      <c r="B14" s="20"/>
      <c r="C14" s="20"/>
      <c r="D14" s="20"/>
      <c r="E14" s="20"/>
      <c r="F14" s="20"/>
      <c r="G14" s="20"/>
      <c r="H14" s="20"/>
      <c r="I14" s="28">
        <f>I10+I11</f>
        <v>-40.539531014700508</v>
      </c>
      <c r="J14" s="28">
        <f>J10+J11</f>
        <v>79.32387419765945</v>
      </c>
      <c r="K14" s="28">
        <f>K10+K11</f>
        <v>38.784343182958942</v>
      </c>
      <c r="M14" s="20" t="s">
        <v>239</v>
      </c>
      <c r="N14" s="20"/>
      <c r="O14" s="20"/>
      <c r="P14" s="20"/>
      <c r="Q14" s="20"/>
      <c r="R14" s="20"/>
      <c r="S14" s="20"/>
      <c r="T14" s="20"/>
      <c r="U14" s="21">
        <f>U10+U11</f>
        <v>-483.13340899152786</v>
      </c>
      <c r="V14" s="21">
        <f>V10+V11</f>
        <v>568.44465362292203</v>
      </c>
      <c r="W14" s="21">
        <f t="shared" si="9"/>
        <v>85.311244631394175</v>
      </c>
      <c r="X14" s="19"/>
      <c r="Y14" s="20" t="s">
        <v>239</v>
      </c>
      <c r="Z14" s="20"/>
      <c r="AA14" s="20"/>
      <c r="AB14" s="20"/>
      <c r="AC14" s="20">
        <v>0</v>
      </c>
      <c r="AD14" s="20">
        <v>0</v>
      </c>
      <c r="AE14" s="20"/>
      <c r="AF14" s="20"/>
      <c r="AG14" s="21">
        <f>AG10+AG11</f>
        <v>1092.7224309084881</v>
      </c>
      <c r="AH14" s="21">
        <f>AH10+AH11</f>
        <v>0</v>
      </c>
      <c r="AI14" s="21">
        <f t="shared" si="10"/>
        <v>1092.7224309084881</v>
      </c>
      <c r="AJ14" s="19"/>
      <c r="AK14" s="20" t="s">
        <v>239</v>
      </c>
      <c r="AL14" s="23">
        <f>AL10+AL11</f>
        <v>0</v>
      </c>
      <c r="AN14" s="20" t="s">
        <v>239</v>
      </c>
      <c r="AO14" s="23">
        <f>AO10+AO11</f>
        <v>254.32155044586429</v>
      </c>
      <c r="AP14" s="24"/>
      <c r="AQ14" s="20" t="s">
        <v>239</v>
      </c>
      <c r="AR14" s="23">
        <f>AR10+AR11</f>
        <v>13.29139081647125</v>
      </c>
      <c r="AT14" s="74">
        <f t="shared" si="6"/>
        <v>267.61294126233554</v>
      </c>
      <c r="AU14" s="55"/>
    </row>
    <row r="15" spans="1:53" x14ac:dyDescent="0.35">
      <c r="I15" s="12"/>
      <c r="J15" s="12"/>
      <c r="K15" s="22"/>
      <c r="U15" s="10"/>
      <c r="V15" s="10"/>
      <c r="W15" s="10"/>
      <c r="X15" s="10"/>
      <c r="AG15" s="10"/>
      <c r="AH15" s="10"/>
      <c r="AI15" s="10"/>
      <c r="AJ15" s="10"/>
      <c r="AL15" s="19"/>
      <c r="AO15" s="38"/>
      <c r="AP15" s="38"/>
      <c r="AR15" s="24"/>
      <c r="AT15" s="55"/>
      <c r="AU15" s="55"/>
    </row>
    <row r="16" spans="1:53" x14ac:dyDescent="0.35">
      <c r="I16" s="12"/>
      <c r="J16" s="12"/>
      <c r="K16" s="22"/>
      <c r="U16" s="10"/>
      <c r="V16" s="10"/>
      <c r="W16" s="10"/>
      <c r="X16" s="10"/>
      <c r="AG16" s="10"/>
      <c r="AH16" s="10"/>
      <c r="AI16" s="10"/>
      <c r="AJ16" s="10"/>
      <c r="AL16" s="19"/>
      <c r="AO16" s="38"/>
      <c r="AP16" s="38"/>
      <c r="AR16" s="24"/>
      <c r="AT16" s="55"/>
      <c r="AU16" s="55"/>
    </row>
    <row r="17" spans="1:51" x14ac:dyDescent="0.35">
      <c r="I17" s="13"/>
      <c r="J17" s="12"/>
      <c r="K17" s="22"/>
      <c r="W17" s="14"/>
      <c r="X17" s="14"/>
    </row>
    <row r="18" spans="1:51" x14ac:dyDescent="0.35">
      <c r="A18" s="105" t="s">
        <v>277</v>
      </c>
      <c r="B18" s="105"/>
      <c r="C18" s="105"/>
      <c r="D18" s="105"/>
      <c r="E18" s="105"/>
      <c r="F18" s="105"/>
      <c r="G18" s="105"/>
      <c r="H18" s="105"/>
      <c r="I18" s="35"/>
      <c r="AY18" s="10"/>
    </row>
    <row r="19" spans="1:51" x14ac:dyDescent="0.35">
      <c r="A19" s="105"/>
      <c r="B19" s="105"/>
      <c r="C19" s="105"/>
      <c r="D19" s="105"/>
      <c r="E19" s="105"/>
      <c r="F19" s="105"/>
      <c r="G19" s="105"/>
      <c r="H19" s="105"/>
      <c r="I19" s="35"/>
    </row>
    <row r="20" spans="1:51" x14ac:dyDescent="0.35">
      <c r="A20" s="105"/>
      <c r="B20" s="105"/>
      <c r="C20" s="105"/>
      <c r="D20" s="105"/>
      <c r="E20" s="105"/>
      <c r="F20" s="105"/>
      <c r="G20" s="105"/>
      <c r="H20" s="105"/>
      <c r="I20" s="35"/>
    </row>
    <row r="21" spans="1:51" x14ac:dyDescent="0.35">
      <c r="A21" s="105"/>
      <c r="B21" s="105"/>
      <c r="C21" s="105"/>
      <c r="D21" s="105"/>
      <c r="E21" s="105"/>
      <c r="F21" s="105"/>
      <c r="G21" s="105"/>
      <c r="H21" s="105"/>
      <c r="I21" s="35"/>
    </row>
    <row r="22" spans="1:51" x14ac:dyDescent="0.35">
      <c r="A22" s="105"/>
      <c r="B22" s="105"/>
      <c r="C22" s="105"/>
      <c r="D22" s="105"/>
      <c r="E22" s="105"/>
      <c r="F22" s="105"/>
      <c r="G22" s="105"/>
      <c r="H22" s="105"/>
      <c r="I22" s="35"/>
    </row>
    <row r="23" spans="1:51" x14ac:dyDescent="0.35">
      <c r="A23" s="105"/>
      <c r="B23" s="105"/>
      <c r="C23" s="105"/>
      <c r="D23" s="105"/>
      <c r="E23" s="105"/>
      <c r="F23" s="105"/>
      <c r="G23" s="105"/>
      <c r="H23" s="105"/>
      <c r="I23" s="35"/>
    </row>
    <row r="24" spans="1:51" x14ac:dyDescent="0.35">
      <c r="A24" s="105"/>
      <c r="B24" s="105"/>
      <c r="C24" s="105"/>
      <c r="D24" s="105"/>
      <c r="E24" s="105"/>
      <c r="F24" s="105"/>
      <c r="G24" s="105"/>
      <c r="H24" s="105"/>
      <c r="I24" s="35"/>
    </row>
  </sheetData>
  <mergeCells count="13">
    <mergeCell ref="AV2:AV3"/>
    <mergeCell ref="AV4:AV8"/>
    <mergeCell ref="AW2:AW3"/>
    <mergeCell ref="AW4:AW5"/>
    <mergeCell ref="AY2:AZ2"/>
    <mergeCell ref="AT2:AT3"/>
    <mergeCell ref="AN2:AO2"/>
    <mergeCell ref="A18:H24"/>
    <mergeCell ref="AK2:AL2"/>
    <mergeCell ref="A2:K2"/>
    <mergeCell ref="M2:W2"/>
    <mergeCell ref="Y2:AI2"/>
    <mergeCell ref="AQ2:AR2"/>
  </mergeCells>
  <hyperlinks>
    <hyperlink ref="AW4" r:id="rId1" xr:uid="{34037A90-6C00-4498-97FE-DCA8F7D4AB6F}"/>
  </hyperlinks>
  <pageMargins left="0.7" right="0.7" top="0.75" bottom="0.75" header="0.3" footer="0.3"/>
  <pageSetup paperSize="9" orientation="portrait" horizontalDpi="300" verticalDpi="0" copies="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D1E2C-8AF0-46E1-A84A-F7B185B4AABF}">
  <dimension ref="A2:S12"/>
  <sheetViews>
    <sheetView zoomScale="69" zoomScaleNormal="85" workbookViewId="0">
      <selection activeCell="S18" sqref="S18"/>
    </sheetView>
  </sheetViews>
  <sheetFormatPr defaultRowHeight="14.5" x14ac:dyDescent="0.35"/>
  <cols>
    <col min="14" max="14" width="16.36328125" customWidth="1"/>
  </cols>
  <sheetData>
    <row r="2" spans="1:19" ht="18.5" x14ac:dyDescent="0.45">
      <c r="A2" s="59"/>
      <c r="B2" s="59"/>
      <c r="C2" s="59"/>
      <c r="D2" s="59"/>
      <c r="E2" s="59"/>
      <c r="F2" s="133" t="s">
        <v>182</v>
      </c>
      <c r="G2" s="133"/>
      <c r="H2" s="133"/>
      <c r="I2" s="133"/>
      <c r="J2" s="133"/>
      <c r="K2" s="133"/>
      <c r="L2" s="133"/>
      <c r="M2" s="133"/>
      <c r="N2" s="133"/>
      <c r="O2" s="59"/>
      <c r="P2" s="59"/>
      <c r="Q2" s="59"/>
      <c r="R2" s="59"/>
      <c r="S2" s="59"/>
    </row>
    <row r="3" spans="1:19" x14ac:dyDescent="0.35">
      <c r="A3" s="134" t="s">
        <v>166</v>
      </c>
      <c r="B3" s="125" t="s">
        <v>171</v>
      </c>
      <c r="C3" s="125"/>
      <c r="D3" s="125"/>
      <c r="E3" s="125"/>
      <c r="F3" s="125" t="s">
        <v>197</v>
      </c>
      <c r="G3" s="125"/>
      <c r="H3" s="125"/>
      <c r="I3" s="125"/>
      <c r="J3" s="125" t="s">
        <v>198</v>
      </c>
      <c r="K3" s="125"/>
      <c r="L3" s="125"/>
      <c r="M3" s="125"/>
      <c r="N3" s="70" t="s">
        <v>199</v>
      </c>
      <c r="O3" s="125" t="s">
        <v>181</v>
      </c>
      <c r="P3" s="125"/>
      <c r="Q3" s="125"/>
      <c r="R3" s="125"/>
      <c r="S3" s="125"/>
    </row>
    <row r="4" spans="1:19" x14ac:dyDescent="0.35">
      <c r="A4" s="134"/>
      <c r="B4" s="70" t="s">
        <v>167</v>
      </c>
      <c r="C4" s="70" t="s">
        <v>168</v>
      </c>
      <c r="D4" s="70" t="s">
        <v>169</v>
      </c>
      <c r="E4" s="70" t="s">
        <v>170</v>
      </c>
      <c r="F4" s="70" t="s">
        <v>167</v>
      </c>
      <c r="G4" s="70" t="s">
        <v>168</v>
      </c>
      <c r="H4" s="70" t="s">
        <v>169</v>
      </c>
      <c r="I4" s="70" t="s">
        <v>170</v>
      </c>
      <c r="J4" s="70" t="s">
        <v>167</v>
      </c>
      <c r="K4" s="70" t="s">
        <v>168</v>
      </c>
      <c r="L4" s="70" t="s">
        <v>169</v>
      </c>
      <c r="M4" s="70" t="s">
        <v>170</v>
      </c>
      <c r="N4" s="70" t="s">
        <v>180</v>
      </c>
      <c r="O4" s="70" t="s">
        <v>167</v>
      </c>
      <c r="P4" s="70" t="s">
        <v>168</v>
      </c>
      <c r="Q4" s="70" t="s">
        <v>169</v>
      </c>
      <c r="R4" s="70" t="s">
        <v>170</v>
      </c>
      <c r="S4" s="70" t="s">
        <v>180</v>
      </c>
    </row>
    <row r="5" spans="1:19" x14ac:dyDescent="0.35">
      <c r="A5" s="81" t="s">
        <v>172</v>
      </c>
      <c r="B5" s="82">
        <f>'CirCrete Indicator Calculation'!K4</f>
        <v>482.45287997080237</v>
      </c>
      <c r="C5" s="82">
        <f>'CirCrete Indicator Calculation'!W4</f>
        <v>3025.3112931992409</v>
      </c>
      <c r="D5" s="82">
        <f>'CirCrete Indicator Calculation'!AI4</f>
        <v>2545.3254523233827</v>
      </c>
      <c r="E5" s="82">
        <f>'CirCrete Indicator Calculation'!AT4</f>
        <v>416.98862482453217</v>
      </c>
      <c r="F5" s="83">
        <f>((MAX(B$5:B$12)-B5)/(MAX(B$5:B$12)-MIN(B$5:B$12)))</f>
        <v>0</v>
      </c>
      <c r="G5" s="83">
        <f t="shared" ref="G5:I5" si="0">((MAX(C$5:C$12)-C5)/(MAX(C$5:C$12)-MIN(C$5:C$12)))</f>
        <v>0</v>
      </c>
      <c r="H5" s="83">
        <f t="shared" si="0"/>
        <v>0</v>
      </c>
      <c r="I5" s="83">
        <f t="shared" si="0"/>
        <v>0</v>
      </c>
      <c r="J5" s="81">
        <f>0.5*0.334</f>
        <v>0.16700000000000001</v>
      </c>
      <c r="K5" s="81">
        <f>0.5*0.334</f>
        <v>0.16700000000000001</v>
      </c>
      <c r="L5" s="81">
        <v>0.33300000000000002</v>
      </c>
      <c r="M5" s="81">
        <v>0.33300000000000002</v>
      </c>
      <c r="N5" s="83">
        <f>(F5*J5+G5*K5+H5*L5+I5*M5)</f>
        <v>0</v>
      </c>
      <c r="O5" s="81">
        <f>RANK(F5, F$5:F$12,0)</f>
        <v>8</v>
      </c>
      <c r="P5" s="81">
        <f>RANK(G5, G$5:G$12,0)</f>
        <v>8</v>
      </c>
      <c r="Q5" s="81">
        <f>RANK(H5, H$5:H$12,0)</f>
        <v>7</v>
      </c>
      <c r="R5" s="81">
        <f>RANK(I5, I$5:I$12,0)</f>
        <v>8</v>
      </c>
      <c r="S5" s="81">
        <f>RANK(N5, N$5:N$12,0)</f>
        <v>8</v>
      </c>
    </row>
    <row r="6" spans="1:19" x14ac:dyDescent="0.35">
      <c r="A6" s="81" t="s">
        <v>173</v>
      </c>
      <c r="B6" s="82">
        <f>'CirCrete Indicator Calculation'!K5</f>
        <v>330.76266538987068</v>
      </c>
      <c r="C6" s="82">
        <f>'CirCrete Indicator Calculation'!W5</f>
        <v>2340.945803576893</v>
      </c>
      <c r="D6" s="82">
        <f>'CirCrete Indicator Calculation'!AI5</f>
        <v>2405.4439841178373</v>
      </c>
      <c r="E6" s="82">
        <f>'CirCrete Indicator Calculation'!AT5</f>
        <v>402.07081714345333</v>
      </c>
      <c r="F6" s="83">
        <f t="shared" ref="F6:F12" si="1">((MAX(B$5:B$12)-B6)/(MAX(B$5:B$12)-MIN(B$5:B$12)))</f>
        <v>0.27031786833822125</v>
      </c>
      <c r="G6" s="83">
        <f t="shared" ref="G6:G12" si="2">((MAX(C$5:C$12)-C6)/(MAX(C$5:C$12)-MIN(C$5:C$12)))</f>
        <v>0.14427626051165834</v>
      </c>
      <c r="H6" s="83">
        <f t="shared" ref="H6:H12" si="3">((MAX(D$5:D$12)-D6)/(MAX(D$5:D$12)-MIN(D$5:D$12)))</f>
        <v>4.1796327302040581E-2</v>
      </c>
      <c r="I6" s="83">
        <f t="shared" ref="I6:I12" si="4">((MAX(E$5:E$12)-E6)/(MAX(E$5:E$12)-MIN(E$5:E$12)))</f>
        <v>6.1425558720303725E-2</v>
      </c>
      <c r="J6" s="81">
        <f t="shared" ref="J6:K12" si="5">0.5*0.334</f>
        <v>0.16700000000000001</v>
      </c>
      <c r="K6" s="81">
        <f t="shared" si="5"/>
        <v>0.16700000000000001</v>
      </c>
      <c r="L6" s="81">
        <v>0.33300000000000002</v>
      </c>
      <c r="M6" s="81">
        <v>0.33300000000000002</v>
      </c>
      <c r="N6" s="83">
        <f t="shared" ref="N6:N12" si="6">(F6*J6+G6*K6+H6*L6+I6*M6)</f>
        <v>0.10361010756337055</v>
      </c>
      <c r="O6" s="81">
        <f t="shared" ref="O6:O12" si="7">RANK(F6, F$5:F$12,0)</f>
        <v>7</v>
      </c>
      <c r="P6" s="81">
        <f t="shared" ref="P6:P12" si="8">RANK(G6, G$5:G$12,0)</f>
        <v>7</v>
      </c>
      <c r="Q6" s="81">
        <f t="shared" ref="Q6:Q12" si="9">RANK(H6, H$5:H$12,0)</f>
        <v>6</v>
      </c>
      <c r="R6" s="81">
        <f t="shared" ref="R6:R12" si="10">RANK(I6, I$5:I$12,0)</f>
        <v>7</v>
      </c>
      <c r="S6" s="81">
        <f t="shared" ref="S6:S12" si="11">RANK(N6, N$5:N$12,0)</f>
        <v>7</v>
      </c>
    </row>
    <row r="7" spans="1:19" x14ac:dyDescent="0.35">
      <c r="A7" s="81" t="s">
        <v>174</v>
      </c>
      <c r="B7" s="82">
        <f>'CirCrete Indicator Calculation'!K6</f>
        <v>-78.702087377257556</v>
      </c>
      <c r="C7" s="82">
        <f>'CirCrete Indicator Calculation'!W6</f>
        <v>-1718.1266583759405</v>
      </c>
      <c r="D7" s="82">
        <f>'CirCrete Indicator Calculation'!AI6</f>
        <v>-801.4152121061469</v>
      </c>
      <c r="E7" s="82">
        <f>'CirCrete Indicator Calculation'!AT6</f>
        <v>174.12868196254107</v>
      </c>
      <c r="F7" s="83">
        <f t="shared" si="1"/>
        <v>1</v>
      </c>
      <c r="G7" s="83">
        <f t="shared" si="2"/>
        <v>1</v>
      </c>
      <c r="H7" s="83">
        <f t="shared" si="3"/>
        <v>1</v>
      </c>
      <c r="I7" s="83">
        <f t="shared" si="4"/>
        <v>1</v>
      </c>
      <c r="J7" s="81">
        <f t="shared" si="5"/>
        <v>0.16700000000000001</v>
      </c>
      <c r="K7" s="81">
        <f t="shared" si="5"/>
        <v>0.16700000000000001</v>
      </c>
      <c r="L7" s="81">
        <v>0.33300000000000002</v>
      </c>
      <c r="M7" s="81">
        <v>0.33300000000000002</v>
      </c>
      <c r="N7" s="83">
        <f t="shared" si="6"/>
        <v>1</v>
      </c>
      <c r="O7" s="81">
        <f t="shared" si="7"/>
        <v>1</v>
      </c>
      <c r="P7" s="81">
        <f t="shared" si="8"/>
        <v>1</v>
      </c>
      <c r="Q7" s="81">
        <f t="shared" si="9"/>
        <v>1</v>
      </c>
      <c r="R7" s="81">
        <f t="shared" si="10"/>
        <v>1</v>
      </c>
      <c r="S7" s="81">
        <f t="shared" si="11"/>
        <v>1</v>
      </c>
    </row>
    <row r="8" spans="1:19" x14ac:dyDescent="0.35">
      <c r="A8" s="81" t="s">
        <v>175</v>
      </c>
      <c r="B8" s="82">
        <f>'CirCrete Indicator Calculation'!K7</f>
        <v>1.6482297352154092</v>
      </c>
      <c r="C8" s="82">
        <f>'CirCrete Indicator Calculation'!W7</f>
        <v>-448.8394412385054</v>
      </c>
      <c r="D8" s="82">
        <f>'CirCrete Indicator Calculation'!AI7</f>
        <v>-359.88059050640624</v>
      </c>
      <c r="E8" s="82">
        <f>'CirCrete Indicator Calculation'!AT7</f>
        <v>181.57154089151322</v>
      </c>
      <c r="F8" s="83">
        <f t="shared" si="1"/>
        <v>0.85681260652080238</v>
      </c>
      <c r="G8" s="83">
        <f t="shared" si="2"/>
        <v>0.73241196994767577</v>
      </c>
      <c r="H8" s="83">
        <f t="shared" si="3"/>
        <v>0.86807026122682784</v>
      </c>
      <c r="I8" s="83">
        <f t="shared" si="4"/>
        <v>0.96935328716106273</v>
      </c>
      <c r="J8" s="81">
        <f t="shared" si="5"/>
        <v>0.16700000000000001</v>
      </c>
      <c r="K8" s="81">
        <f t="shared" si="5"/>
        <v>0.16700000000000001</v>
      </c>
      <c r="L8" s="81">
        <v>0.33300000000000002</v>
      </c>
      <c r="M8" s="81">
        <v>0.33300000000000002</v>
      </c>
      <c r="N8" s="83">
        <f t="shared" si="6"/>
        <v>0.87726254588340347</v>
      </c>
      <c r="O8" s="81">
        <f t="shared" si="7"/>
        <v>3</v>
      </c>
      <c r="P8" s="81">
        <f t="shared" si="8"/>
        <v>3</v>
      </c>
      <c r="Q8" s="81">
        <f t="shared" si="9"/>
        <v>3</v>
      </c>
      <c r="R8" s="81">
        <f t="shared" si="10"/>
        <v>3</v>
      </c>
      <c r="S8" s="81">
        <f t="shared" si="11"/>
        <v>3</v>
      </c>
    </row>
    <row r="9" spans="1:19" x14ac:dyDescent="0.35">
      <c r="A9" s="81" t="s">
        <v>176</v>
      </c>
      <c r="B9" s="82">
        <f>'CirCrete Indicator Calculation'!K8</f>
        <v>75.846079286247615</v>
      </c>
      <c r="C9" s="82">
        <f>'CirCrete Indicator Calculation'!W8</f>
        <v>619.46193050129364</v>
      </c>
      <c r="D9" s="82">
        <f>'CirCrete Indicator Calculation'!AI8</f>
        <v>2545.3254523233827</v>
      </c>
      <c r="E9" s="82">
        <f>'CirCrete Indicator Calculation'!AT8</f>
        <v>352.68389736421938</v>
      </c>
      <c r="F9" s="83">
        <f t="shared" si="1"/>
        <v>0.72458914977821853</v>
      </c>
      <c r="G9" s="83">
        <f t="shared" si="2"/>
        <v>0.50719528478263798</v>
      </c>
      <c r="H9" s="83">
        <f t="shared" si="3"/>
        <v>0</v>
      </c>
      <c r="I9" s="83">
        <f t="shared" si="4"/>
        <v>0.26478111911956986</v>
      </c>
      <c r="J9" s="81">
        <f t="shared" si="5"/>
        <v>0.16700000000000001</v>
      </c>
      <c r="K9" s="81">
        <f t="shared" si="5"/>
        <v>0.16700000000000001</v>
      </c>
      <c r="L9" s="81">
        <v>0.33300000000000002</v>
      </c>
      <c r="M9" s="81">
        <v>0.33300000000000002</v>
      </c>
      <c r="N9" s="83">
        <f t="shared" si="6"/>
        <v>0.29388011323847985</v>
      </c>
      <c r="O9" s="81">
        <f t="shared" si="7"/>
        <v>6</v>
      </c>
      <c r="P9" s="81">
        <f t="shared" si="8"/>
        <v>6</v>
      </c>
      <c r="Q9" s="81">
        <f t="shared" si="9"/>
        <v>7</v>
      </c>
      <c r="R9" s="81">
        <f t="shared" si="10"/>
        <v>6</v>
      </c>
      <c r="S9" s="81">
        <f t="shared" si="11"/>
        <v>6</v>
      </c>
    </row>
    <row r="10" spans="1:19" x14ac:dyDescent="0.35">
      <c r="A10" s="81" t="s">
        <v>177</v>
      </c>
      <c r="B10" s="82">
        <f>'CirCrete Indicator Calculation'!K12</f>
        <v>-27.820551497930907</v>
      </c>
      <c r="C10" s="82">
        <f>'CirCrete Indicator Calculation'!W12</f>
        <v>-914.07891432784027</v>
      </c>
      <c r="D10" s="82">
        <f>'CirCrete Indicator Calculation'!AI12</f>
        <v>-580.64790130627648</v>
      </c>
      <c r="E10" s="82">
        <f>'CirCrete Indicator Calculation'!AT12</f>
        <v>178.09272249426175</v>
      </c>
      <c r="F10" s="83">
        <f t="shared" si="1"/>
        <v>0.90932712202515875</v>
      </c>
      <c r="G10" s="83">
        <f t="shared" si="2"/>
        <v>0.83049261901252536</v>
      </c>
      <c r="H10" s="83">
        <f t="shared" si="3"/>
        <v>0.93403513061341381</v>
      </c>
      <c r="I10" s="83">
        <f t="shared" si="4"/>
        <v>0.98367766835071146</v>
      </c>
      <c r="J10" s="81">
        <f t="shared" si="5"/>
        <v>0.16700000000000001</v>
      </c>
      <c r="K10" s="81">
        <f t="shared" si="5"/>
        <v>0.16700000000000001</v>
      </c>
      <c r="L10" s="81">
        <v>0.33300000000000002</v>
      </c>
      <c r="M10" s="81">
        <v>0.33300000000000002</v>
      </c>
      <c r="N10" s="83">
        <f t="shared" si="6"/>
        <v>0.92914825880834706</v>
      </c>
      <c r="O10" s="81">
        <f t="shared" si="7"/>
        <v>2</v>
      </c>
      <c r="P10" s="81">
        <f t="shared" si="8"/>
        <v>2</v>
      </c>
      <c r="Q10" s="81">
        <f t="shared" si="9"/>
        <v>2</v>
      </c>
      <c r="R10" s="81">
        <f t="shared" si="10"/>
        <v>2</v>
      </c>
      <c r="S10" s="81">
        <f t="shared" si="11"/>
        <v>2</v>
      </c>
    </row>
    <row r="11" spans="1:19" x14ac:dyDescent="0.35">
      <c r="A11" s="81" t="s">
        <v>178</v>
      </c>
      <c r="B11" s="82">
        <f>'CirCrete Indicator Calculation'!K13</f>
        <v>9.2659770535093955</v>
      </c>
      <c r="C11" s="82">
        <f>'CirCrete Indicator Calculation'!W13</f>
        <v>-379.92822845794069</v>
      </c>
      <c r="D11" s="82">
        <f>'CirCrete Indicator Calculation'!AI13</f>
        <v>871.95512010861785</v>
      </c>
      <c r="E11" s="82">
        <f>'CirCrete Indicator Calculation'!AT13</f>
        <v>263.64890073061486</v>
      </c>
      <c r="F11" s="83">
        <f t="shared" si="1"/>
        <v>0.84323748420780853</v>
      </c>
      <c r="G11" s="83">
        <f t="shared" si="2"/>
        <v>0.71788427643000652</v>
      </c>
      <c r="H11" s="83">
        <f t="shared" si="3"/>
        <v>0.5</v>
      </c>
      <c r="I11" s="83">
        <f t="shared" si="4"/>
        <v>0.63139158432996489</v>
      </c>
      <c r="J11" s="81">
        <f t="shared" si="5"/>
        <v>0.16700000000000001</v>
      </c>
      <c r="K11" s="81">
        <f t="shared" si="5"/>
        <v>0.16700000000000001</v>
      </c>
      <c r="L11" s="81">
        <v>0.33300000000000002</v>
      </c>
      <c r="M11" s="81">
        <v>0.33300000000000002</v>
      </c>
      <c r="N11" s="83">
        <f t="shared" si="6"/>
        <v>0.63746073160839345</v>
      </c>
      <c r="O11" s="81">
        <f t="shared" si="7"/>
        <v>4</v>
      </c>
      <c r="P11" s="81">
        <f t="shared" si="8"/>
        <v>4</v>
      </c>
      <c r="Q11" s="81">
        <f t="shared" si="9"/>
        <v>4</v>
      </c>
      <c r="R11" s="81">
        <f t="shared" si="10"/>
        <v>4</v>
      </c>
      <c r="S11" s="81">
        <f t="shared" si="11"/>
        <v>4</v>
      </c>
    </row>
    <row r="12" spans="1:19" x14ac:dyDescent="0.35">
      <c r="A12" s="81" t="s">
        <v>179</v>
      </c>
      <c r="B12" s="82">
        <f>'CirCrete Indicator Calculation'!K14</f>
        <v>38.784343182958942</v>
      </c>
      <c r="C12" s="82">
        <f>'CirCrete Indicator Calculation'!W14</f>
        <v>85.311244631394175</v>
      </c>
      <c r="D12" s="82">
        <f>'CirCrete Indicator Calculation'!AI14</f>
        <v>1092.7224309084881</v>
      </c>
      <c r="E12" s="82">
        <f>'CirCrete Indicator Calculation'!AT14</f>
        <v>267.61294126233554</v>
      </c>
      <c r="F12" s="83">
        <f t="shared" si="1"/>
        <v>0.79063460648768558</v>
      </c>
      <c r="G12" s="83">
        <f t="shared" si="2"/>
        <v>0.61980362736515682</v>
      </c>
      <c r="H12" s="83">
        <f t="shared" si="3"/>
        <v>0.43403513061341392</v>
      </c>
      <c r="I12" s="83">
        <f t="shared" si="4"/>
        <v>0.61506925268067636</v>
      </c>
      <c r="J12" s="81">
        <f t="shared" si="5"/>
        <v>0.16700000000000001</v>
      </c>
      <c r="K12" s="81">
        <f t="shared" si="5"/>
        <v>0.16700000000000001</v>
      </c>
      <c r="L12" s="81">
        <v>0.33300000000000002</v>
      </c>
      <c r="M12" s="81">
        <v>0.33300000000000002</v>
      </c>
      <c r="N12" s="83">
        <f t="shared" si="6"/>
        <v>0.58489494469035674</v>
      </c>
      <c r="O12" s="81">
        <f t="shared" si="7"/>
        <v>5</v>
      </c>
      <c r="P12" s="81">
        <f t="shared" si="8"/>
        <v>5</v>
      </c>
      <c r="Q12" s="81">
        <f t="shared" si="9"/>
        <v>5</v>
      </c>
      <c r="R12" s="81">
        <f t="shared" si="10"/>
        <v>5</v>
      </c>
      <c r="S12" s="81">
        <f t="shared" si="11"/>
        <v>5</v>
      </c>
    </row>
  </sheetData>
  <mergeCells count="6">
    <mergeCell ref="O3:S3"/>
    <mergeCell ref="F2:N2"/>
    <mergeCell ref="B3:E3"/>
    <mergeCell ref="A3:A4"/>
    <mergeCell ref="F3:I3"/>
    <mergeCell ref="J3:M3"/>
  </mergeCells>
  <pageMargins left="0.7" right="0.7" top="0.75" bottom="0.75" header="0.3" footer="0.3"/>
  <pageSetup paperSize="9" orientation="portrait" horizontalDpi="300" verticalDpi="0" copies="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C31A4-4718-4A5A-8FB1-6D14B3CD40DD}">
  <dimension ref="A6:H19"/>
  <sheetViews>
    <sheetView showGridLines="0" zoomScale="57" workbookViewId="0">
      <selection activeCell="H33" sqref="H33"/>
    </sheetView>
  </sheetViews>
  <sheetFormatPr defaultRowHeight="14.5" x14ac:dyDescent="0.35"/>
  <sheetData>
    <row r="6" spans="1:2" x14ac:dyDescent="0.35">
      <c r="A6" s="2"/>
    </row>
    <row r="7" spans="1:2" x14ac:dyDescent="0.35">
      <c r="A7" s="3"/>
      <c r="B7" s="135" t="s">
        <v>185</v>
      </c>
    </row>
    <row r="8" spans="1:2" x14ac:dyDescent="0.35">
      <c r="A8" s="3"/>
      <c r="B8" s="135"/>
    </row>
    <row r="9" spans="1:2" x14ac:dyDescent="0.35">
      <c r="A9" s="3" t="s">
        <v>184</v>
      </c>
      <c r="B9" s="135"/>
    </row>
    <row r="19" spans="3:8" x14ac:dyDescent="0.35">
      <c r="C19" t="s">
        <v>184</v>
      </c>
      <c r="H19" t="s">
        <v>185</v>
      </c>
    </row>
  </sheetData>
  <mergeCells count="1">
    <mergeCell ref="B7:B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EAAE2-EE42-40CD-86CE-5329C7C808F9}">
  <dimension ref="B1:AE26"/>
  <sheetViews>
    <sheetView showGridLines="0" zoomScale="57" workbookViewId="0">
      <selection activeCell="O27" sqref="O27"/>
    </sheetView>
  </sheetViews>
  <sheetFormatPr defaultRowHeight="14.5" x14ac:dyDescent="0.35"/>
  <sheetData>
    <row r="1" spans="2:31" ht="23.5" x14ac:dyDescent="0.55000000000000004">
      <c r="B1" s="5" t="s">
        <v>240</v>
      </c>
    </row>
    <row r="2" spans="2:31" ht="18.5" x14ac:dyDescent="0.35">
      <c r="B2" s="91" t="s">
        <v>242</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row>
    <row r="3" spans="2:31" ht="18.5" x14ac:dyDescent="0.35">
      <c r="B3" s="91" t="s">
        <v>243</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row>
    <row r="4" spans="2:31" ht="18.5" x14ac:dyDescent="0.35">
      <c r="B4" s="91" t="s">
        <v>244</v>
      </c>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row>
    <row r="5" spans="2:31" ht="18.5" x14ac:dyDescent="0.35">
      <c r="B5" s="91" t="s">
        <v>245</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row>
    <row r="6" spans="2:31" ht="18.5" x14ac:dyDescent="0.35">
      <c r="B6" s="91" t="s">
        <v>246</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row>
    <row r="7" spans="2:31" ht="18.5" x14ac:dyDescent="0.35">
      <c r="B7" s="91" t="s">
        <v>276</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row>
    <row r="8" spans="2:31" ht="18.5" x14ac:dyDescent="0.35">
      <c r="B8" s="91" t="s">
        <v>247</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row>
    <row r="9" spans="2:31" ht="18.5" x14ac:dyDescent="0.35">
      <c r="B9" s="91" t="s">
        <v>248</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row>
    <row r="10" spans="2:31" ht="18.5" x14ac:dyDescent="0.35">
      <c r="B10" s="91" t="s">
        <v>249</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row>
    <row r="11" spans="2:31" ht="18.5" x14ac:dyDescent="0.35">
      <c r="B11" s="91" t="s">
        <v>250</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row>
    <row r="12" spans="2:31" ht="18.5" x14ac:dyDescent="0.35">
      <c r="B12" s="91" t="s">
        <v>251</v>
      </c>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row>
    <row r="13" spans="2:31" ht="18.5" x14ac:dyDescent="0.35">
      <c r="B13" s="91" t="s">
        <v>252</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row>
    <row r="14" spans="2:31" ht="18.5" x14ac:dyDescent="0.35">
      <c r="B14" s="91" t="s">
        <v>253</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row>
    <row r="15" spans="2:31" ht="18.5" x14ac:dyDescent="0.35">
      <c r="B15" s="91" t="s">
        <v>254</v>
      </c>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row>
    <row r="16" spans="2:31" ht="18.5" x14ac:dyDescent="0.35">
      <c r="B16" s="91" t="s">
        <v>255</v>
      </c>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row>
    <row r="17" spans="2:31" ht="18.5" x14ac:dyDescent="0.35">
      <c r="B17" s="91" t="s">
        <v>256</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row>
    <row r="18" spans="2:31" ht="18.5" x14ac:dyDescent="0.35">
      <c r="B18" s="91" t="s">
        <v>257</v>
      </c>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row>
    <row r="19" spans="2:31" ht="18.5" x14ac:dyDescent="0.35">
      <c r="B19" s="91" t="s">
        <v>258</v>
      </c>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row>
    <row r="20" spans="2:31" ht="18.5" x14ac:dyDescent="0.35">
      <c r="B20" s="91" t="s">
        <v>259</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row>
    <row r="21" spans="2:31" ht="18.5" x14ac:dyDescent="0.35">
      <c r="B21" s="91" t="s">
        <v>260</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row>
    <row r="22" spans="2:31" ht="18.5" x14ac:dyDescent="0.35">
      <c r="B22" s="91" t="s">
        <v>261</v>
      </c>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row>
    <row r="23" spans="2:31" ht="18.5" x14ac:dyDescent="0.35">
      <c r="B23" s="91" t="s">
        <v>262</v>
      </c>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row>
    <row r="24" spans="2:31" ht="18.5" x14ac:dyDescent="0.35">
      <c r="B24" s="91" t="s">
        <v>263</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row>
    <row r="25" spans="2:31" ht="18.5" x14ac:dyDescent="0.35">
      <c r="B25" s="91" t="s">
        <v>264</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row>
    <row r="26" spans="2:31" x14ac:dyDescent="0.35">
      <c r="B26"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New build case_for_reuse</vt:lpstr>
      <vt:lpstr>Carbonated cover_repair</vt:lpstr>
      <vt:lpstr>Inventory</vt:lpstr>
      <vt:lpstr>CirCrete Indicator Calculation</vt:lpstr>
      <vt:lpstr>Normalisation &amp; Aggregation</vt:lpstr>
      <vt:lpstr>Refurbishment case study</vt:lpstr>
      <vt:lpstr>Reference</vt:lpstr>
    </vt:vector>
  </TitlesOfParts>
  <Company>University of Leeds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Donald Nwonu</dc:creator>
  <cp:lastModifiedBy>Donald Nwonu</cp:lastModifiedBy>
  <dcterms:created xsi:type="dcterms:W3CDTF">2023-10-05T12:56:37Z</dcterms:created>
  <dcterms:modified xsi:type="dcterms:W3CDTF">2024-12-16T18:19:05Z</dcterms:modified>
</cp:coreProperties>
</file>