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2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eeds365-my.sharepoint.com/personal/pmoki_leeds_ac_uk/Documents/Desktop/PhD 3.year/DATA TO PUBLISH/"/>
    </mc:Choice>
  </mc:AlternateContent>
  <xr:revisionPtr revIDLastSave="36" documentId="11_F25DC773A252ABDACC10480EB1D86CF85ADE58EE" xr6:coauthVersionLast="47" xr6:coauthVersionMax="47" xr10:uidLastSave="{51578EE1-6FDE-4DC1-9573-8CD39546DEB0}"/>
  <bookViews>
    <workbookView xWindow="28680" yWindow="-120" windowWidth="29040" windowHeight="15720" activeTab="3" xr2:uid="{00000000-000D-0000-FFFF-FFFF00000000}"/>
  </bookViews>
  <sheets>
    <sheet name="Cs kinetic" sheetId="1" r:id="rId1"/>
    <sheet name="Sheet1" sheetId="2" r:id="rId2"/>
    <sheet name="BaSO4 removal" sheetId="3" r:id="rId3"/>
    <sheet name="Combined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G9" i="4" s="1"/>
  <c r="F8" i="4"/>
  <c r="G8" i="4" s="1"/>
  <c r="F7" i="4"/>
  <c r="G7" i="4" s="1"/>
  <c r="S12" i="4"/>
  <c r="R12" i="4"/>
  <c r="R11" i="4"/>
  <c r="S11" i="4" s="1"/>
  <c r="F5" i="4"/>
  <c r="G5" i="4" s="1"/>
  <c r="S10" i="4"/>
  <c r="R10" i="4"/>
  <c r="F4" i="4"/>
  <c r="G4" i="4" s="1"/>
  <c r="R9" i="4"/>
  <c r="S9" i="4" s="1"/>
  <c r="S8" i="4"/>
  <c r="R8" i="4"/>
  <c r="R7" i="4"/>
  <c r="S7" i="4" s="1"/>
  <c r="S6" i="4"/>
  <c r="R6" i="4"/>
  <c r="R5" i="4"/>
  <c r="S5" i="4" s="1"/>
  <c r="D28" i="3"/>
  <c r="D29" i="3" s="1"/>
  <c r="C28" i="3"/>
  <c r="C29" i="3" s="1"/>
  <c r="F23" i="3"/>
  <c r="G23" i="3" s="1"/>
  <c r="G21" i="3"/>
  <c r="F21" i="3"/>
  <c r="F20" i="3"/>
  <c r="G20" i="3" s="1"/>
  <c r="F19" i="3"/>
  <c r="G19" i="3" s="1"/>
  <c r="P18" i="3"/>
  <c r="Q18" i="3" s="1"/>
  <c r="F18" i="3"/>
  <c r="G18" i="3" s="1"/>
  <c r="P17" i="3"/>
  <c r="Q17" i="3" s="1"/>
  <c r="F16" i="3"/>
  <c r="G16" i="3" s="1"/>
  <c r="P14" i="3"/>
  <c r="Q14" i="3" s="1"/>
  <c r="F14" i="3"/>
  <c r="G14" i="3" s="1"/>
  <c r="P12" i="3"/>
  <c r="Q12" i="3" s="1"/>
  <c r="F12" i="3"/>
  <c r="G12" i="3" s="1"/>
  <c r="P10" i="3"/>
  <c r="Q10" i="3" s="1"/>
  <c r="F10" i="3"/>
  <c r="G10" i="3" s="1"/>
  <c r="O15" i="2"/>
  <c r="I15" i="2"/>
  <c r="L15" i="2" s="1"/>
  <c r="O14" i="2"/>
  <c r="L14" i="2"/>
  <c r="N14" i="2" s="1"/>
  <c r="I14" i="2"/>
  <c r="K14" i="2" s="1"/>
  <c r="O13" i="2"/>
  <c r="L13" i="2"/>
  <c r="N13" i="2" s="1"/>
  <c r="K13" i="2"/>
  <c r="I13" i="2"/>
  <c r="J13" i="2" s="1"/>
  <c r="O12" i="2"/>
  <c r="I12" i="2"/>
  <c r="L12" i="2" s="1"/>
  <c r="N12" i="2" s="1"/>
  <c r="O11" i="2"/>
  <c r="I11" i="2"/>
  <c r="L11" i="2" s="1"/>
  <c r="N11" i="2" s="1"/>
  <c r="B11" i="2"/>
  <c r="O10" i="2"/>
  <c r="I10" i="2"/>
  <c r="L10" i="2" s="1"/>
  <c r="N10" i="2" s="1"/>
  <c r="O9" i="2"/>
  <c r="L9" i="2"/>
  <c r="N9" i="2" s="1"/>
  <c r="I9" i="2"/>
  <c r="K9" i="2" s="1"/>
  <c r="O8" i="2"/>
  <c r="I8" i="2"/>
  <c r="L8" i="2" s="1"/>
  <c r="N8" i="2" s="1"/>
  <c r="D8" i="2"/>
  <c r="O7" i="2"/>
  <c r="I7" i="2"/>
  <c r="L7" i="2" s="1"/>
  <c r="N7" i="2" s="1"/>
  <c r="D7" i="2"/>
  <c r="B3" i="2"/>
  <c r="B22" i="1"/>
  <c r="T14" i="1"/>
  <c r="W14" i="1" s="1"/>
  <c r="T13" i="1"/>
  <c r="U13" i="1" s="1"/>
  <c r="T12" i="1"/>
  <c r="W12" i="1" s="1"/>
  <c r="T11" i="1"/>
  <c r="U11" i="1" s="1"/>
  <c r="T10" i="1"/>
  <c r="W10" i="1" s="1"/>
  <c r="T9" i="1"/>
  <c r="U9" i="1" s="1"/>
  <c r="B9" i="1"/>
  <c r="L13" i="1" s="1"/>
  <c r="T7" i="1"/>
  <c r="U7" i="1" s="1"/>
  <c r="L7" i="1"/>
  <c r="E21" i="1" s="1"/>
  <c r="B3" i="1"/>
  <c r="T8" i="1" s="1"/>
  <c r="N15" i="2" l="1"/>
  <c r="R7" i="2" s="1"/>
  <c r="U12" i="2"/>
  <c r="U7" i="2"/>
  <c r="U8" i="2"/>
  <c r="U13" i="2"/>
  <c r="U14" i="2"/>
  <c r="U9" i="2"/>
  <c r="U10" i="2"/>
  <c r="U11" i="2"/>
  <c r="U15" i="2"/>
  <c r="J7" i="2"/>
  <c r="K7" i="2"/>
  <c r="J8" i="2"/>
  <c r="K8" i="2"/>
  <c r="J12" i="2"/>
  <c r="K12" i="2"/>
  <c r="J10" i="2"/>
  <c r="J15" i="2"/>
  <c r="K10" i="2"/>
  <c r="J11" i="2"/>
  <c r="K15" i="2"/>
  <c r="K11" i="2"/>
  <c r="J9" i="2"/>
  <c r="J14" i="2"/>
  <c r="W8" i="1"/>
  <c r="U8" i="1"/>
  <c r="E27" i="1"/>
  <c r="N13" i="1"/>
  <c r="O13" i="1" s="1"/>
  <c r="U10" i="1"/>
  <c r="U12" i="1"/>
  <c r="U14" i="1"/>
  <c r="N7" i="1"/>
  <c r="O7" i="1" s="1"/>
  <c r="L9" i="1"/>
  <c r="L11" i="1"/>
  <c r="W7" i="1"/>
  <c r="L6" i="1"/>
  <c r="E20" i="1" s="1"/>
  <c r="L8" i="1"/>
  <c r="E22" i="1" s="1"/>
  <c r="W9" i="1"/>
  <c r="W11" i="1"/>
  <c r="W13" i="1"/>
  <c r="N8" i="1"/>
  <c r="O8" i="1" s="1"/>
  <c r="L10" i="1"/>
  <c r="E24" i="1" s="1"/>
  <c r="L12" i="1"/>
  <c r="E26" i="1" s="1"/>
  <c r="L14" i="1"/>
  <c r="N10" i="1"/>
  <c r="O10" i="1" s="1"/>
  <c r="N12" i="1"/>
  <c r="O12" i="1" s="1"/>
  <c r="N14" i="1"/>
  <c r="O14" i="1" s="1"/>
  <c r="T6" i="1"/>
  <c r="Y7" i="2" l="1"/>
  <c r="Y10" i="2" s="1"/>
  <c r="X7" i="2"/>
  <c r="X10" i="2" s="1"/>
  <c r="X13" i="2"/>
  <c r="Q13" i="2"/>
  <c r="Q7" i="2"/>
  <c r="E25" i="1"/>
  <c r="N11" i="1"/>
  <c r="O11" i="1" s="1"/>
  <c r="P24" i="1"/>
  <c r="P29" i="1"/>
  <c r="P28" i="1"/>
  <c r="P21" i="1"/>
  <c r="E28" i="1"/>
  <c r="P27" i="1"/>
  <c r="P23" i="1"/>
  <c r="P26" i="1"/>
  <c r="P22" i="1"/>
  <c r="P25" i="1"/>
  <c r="N6" i="1"/>
  <c r="O6" i="1" s="1"/>
  <c r="N9" i="1"/>
  <c r="O9" i="1" s="1"/>
  <c r="E23" i="1"/>
  <c r="H24" i="1" s="1"/>
  <c r="W6" i="1"/>
  <c r="U6" i="1"/>
  <c r="Q10" i="2" l="1"/>
  <c r="R10" i="2"/>
  <c r="T21" i="1"/>
  <c r="T23" i="1" s="1"/>
  <c r="S21" i="1"/>
  <c r="S23" i="1" s="1"/>
  <c r="S26" i="1"/>
  <c r="H20" i="1"/>
  <c r="I20" i="1"/>
  <c r="S15" i="2" l="1"/>
  <c r="S12" i="2"/>
  <c r="S7" i="2"/>
  <c r="S8" i="2"/>
  <c r="S13" i="2"/>
  <c r="R13" i="2"/>
  <c r="S14" i="2"/>
  <c r="S9" i="2"/>
  <c r="S10" i="2"/>
  <c r="S11" i="2"/>
  <c r="I22" i="1"/>
  <c r="H22" i="1"/>
  <c r="E33" i="1" l="1"/>
  <c r="E32" i="1"/>
  <c r="E31" i="1"/>
  <c r="I24" i="1"/>
  <c r="E39" i="1"/>
  <c r="E38" i="1"/>
  <c r="E37" i="1"/>
  <c r="E36" i="1"/>
  <c r="E35" i="1"/>
  <c r="E34" i="1"/>
</calcChain>
</file>

<file path=xl/sharedStrings.xml><?xml version="1.0" encoding="utf-8"?>
<sst xmlns="http://schemas.openxmlformats.org/spreadsheetml/2006/main" count="131" uniqueCount="71">
  <si>
    <t>Co</t>
  </si>
  <si>
    <t>ppm</t>
  </si>
  <si>
    <t>diluted in 20 mL total volume</t>
  </si>
  <si>
    <t>Qt should be mg/g</t>
  </si>
  <si>
    <t>CESIUM</t>
  </si>
  <si>
    <t>V</t>
  </si>
  <si>
    <t>ml</t>
  </si>
  <si>
    <t>l</t>
  </si>
  <si>
    <t>Time</t>
  </si>
  <si>
    <t>Ce</t>
  </si>
  <si>
    <t>here I found mg/Ml</t>
  </si>
  <si>
    <t>MY found as mg/g</t>
  </si>
  <si>
    <t>Back calculation</t>
  </si>
  <si>
    <t>This is the back calculation from wrongly calculated Qt, it shows as if I used 20 gr of clino in 1L</t>
  </si>
  <si>
    <t>hr</t>
  </si>
  <si>
    <t>mins</t>
  </si>
  <si>
    <t>Average</t>
  </si>
  <si>
    <t>%Removal</t>
  </si>
  <si>
    <t>Qt</t>
  </si>
  <si>
    <t>MY Qt</t>
  </si>
  <si>
    <t>mass</t>
  </si>
  <si>
    <t>g/l</t>
  </si>
  <si>
    <t>mass from your Qt</t>
  </si>
  <si>
    <t>Back Calculation Qt from your obtained mass</t>
  </si>
  <si>
    <t>wt%</t>
  </si>
  <si>
    <t>g of clino used</t>
  </si>
  <si>
    <t>g</t>
  </si>
  <si>
    <t>MY PSO</t>
  </si>
  <si>
    <t>PFO</t>
  </si>
  <si>
    <t>t/qt</t>
  </si>
  <si>
    <t>t</t>
  </si>
  <si>
    <t>slope</t>
  </si>
  <si>
    <t>intercept</t>
  </si>
  <si>
    <t>Ln(qe-qt)</t>
  </si>
  <si>
    <t>qe = 1/slope</t>
  </si>
  <si>
    <t>k2 = slope^2/intercept</t>
  </si>
  <si>
    <t>k1</t>
  </si>
  <si>
    <t>qe</t>
  </si>
  <si>
    <t>r2</t>
  </si>
  <si>
    <t>h</t>
  </si>
  <si>
    <t>qt (mg/g)</t>
  </si>
  <si>
    <t>PSO MY</t>
  </si>
  <si>
    <t>k2</t>
  </si>
  <si>
    <t>Co Sr (ppm)</t>
  </si>
  <si>
    <t>Co Cs (ppm)</t>
  </si>
  <si>
    <t>Sr removal efficiency with BaSO4</t>
  </si>
  <si>
    <t>Cs removal efficiency with BaSO4</t>
  </si>
  <si>
    <t>dilution up to(ppm)</t>
  </si>
  <si>
    <t>1st experiment</t>
  </si>
  <si>
    <t>2nd experiment</t>
  </si>
  <si>
    <t>3rd experiment</t>
  </si>
  <si>
    <t>without dilution</t>
  </si>
  <si>
    <t xml:space="preserve">without dilution, 50 ppm </t>
  </si>
  <si>
    <t xml:space="preserve">4rd experiment </t>
  </si>
  <si>
    <t>4th</t>
  </si>
  <si>
    <t xml:space="preserve">these are BaSO4 precipitation based on combined experiment. Dispersing 50 pm of each salt (Sr/Cs) in 100 mL water and add BaNO3 (same amount in combined- increased volume of BaNO3 and NaSO4). </t>
  </si>
  <si>
    <t>50 ppm Sr</t>
  </si>
  <si>
    <t xml:space="preserve">5th </t>
  </si>
  <si>
    <t>5th experiment</t>
  </si>
  <si>
    <t>Sr</t>
  </si>
  <si>
    <t>Cs</t>
  </si>
  <si>
    <t>std</t>
  </si>
  <si>
    <t>error</t>
  </si>
  <si>
    <t>diluted in 100 mL total volume</t>
  </si>
  <si>
    <t>Sr removal efficiency in combined system</t>
  </si>
  <si>
    <t>Cs removal efficiency with system</t>
  </si>
  <si>
    <t>4wt% natural clino</t>
  </si>
  <si>
    <t>4wt% activated clino</t>
  </si>
  <si>
    <t>2wt% natural clino</t>
  </si>
  <si>
    <t>These ones with correct calculations with 20 g/L natural clino</t>
  </si>
  <si>
    <t>4wt% activated clino but increased BaNO3 and NaSO4 volume from 50 ml to 100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</si>
</sst>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4" borderId="0" xfId="0" applyFont="1" applyFill="1"/>
    <xf numFmtId="0" fontId="0" fillId="4" borderId="0" xfId="0" applyFill="1"/>
    <xf numFmtId="164" fontId="0" fillId="0" borderId="0" xfId="0" applyNumberFormat="1"/>
    <xf numFmtId="0" fontId="0" fillId="5" borderId="0" xfId="0" applyFill="1"/>
    <xf numFmtId="0" fontId="2" fillId="3" borderId="0" xfId="0" applyFont="1" applyFill="1"/>
    <xf numFmtId="0" fontId="0" fillId="6" borderId="0" xfId="0" applyFill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9" borderId="0" xfId="0" applyFill="1"/>
    <xf numFmtId="0" fontId="0" fillId="10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'[1]Cs- NEW KINETIC (MY)'!$F$31:$F$39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720</c:v>
                </c:pt>
                <c:pt idx="8">
                  <c:v>1440</c:v>
                </c:pt>
              </c:numCache>
            </c:numRef>
          </c:xVal>
          <c:yVal>
            <c:numRef>
              <c:f>'[1]Cs- NEW KINETIC (MY)'!$E$31:$E$39</c:f>
              <c:numCache>
                <c:formatCode>General</c:formatCode>
                <c:ptCount val="9"/>
                <c:pt idx="0">
                  <c:v>1.0048924087532289</c:v>
                </c:pt>
                <c:pt idx="1">
                  <c:v>1.1017419720584816</c:v>
                </c:pt>
                <c:pt idx="2">
                  <c:v>1.1383113795747877</c:v>
                </c:pt>
                <c:pt idx="3">
                  <c:v>1.1773917822304933</c:v>
                </c:pt>
                <c:pt idx="4">
                  <c:v>1.1979558376100694</c:v>
                </c:pt>
                <c:pt idx="5">
                  <c:v>1.208509613761394</c:v>
                </c:pt>
                <c:pt idx="6">
                  <c:v>1.2120689839080288</c:v>
                </c:pt>
                <c:pt idx="7">
                  <c:v>1.2156493825011208</c:v>
                </c:pt>
                <c:pt idx="8">
                  <c:v>1.217447525786016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6B-4389-9977-CA37A51E2DC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'[1]Cs- NEW KINETIC (MY)'!$F$31:$F$39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720</c:v>
                </c:pt>
                <c:pt idx="8">
                  <c:v>1440</c:v>
                </c:pt>
              </c:numCache>
            </c:numRef>
          </c:xVal>
          <c:yVal>
            <c:numRef>
              <c:f>'[1]Cs- NEW KINETIC (MY)'!$L$6:$L$14</c:f>
              <c:numCache>
                <c:formatCode>General</c:formatCode>
                <c:ptCount val="9"/>
                <c:pt idx="0">
                  <c:v>1.1063499999999999</c:v>
                </c:pt>
                <c:pt idx="1">
                  <c:v>1.1424833333333333</c:v>
                </c:pt>
                <c:pt idx="2">
                  <c:v>1.1545999999999998</c:v>
                </c:pt>
                <c:pt idx="3">
                  <c:v>1.1756166666666668</c:v>
                </c:pt>
                <c:pt idx="4">
                  <c:v>1.1972166666666666</c:v>
                </c:pt>
                <c:pt idx="5">
                  <c:v>1.2040499999999998</c:v>
                </c:pt>
                <c:pt idx="6">
                  <c:v>1.2090999999999998</c:v>
                </c:pt>
                <c:pt idx="7">
                  <c:v>1.2131166666666666</c:v>
                </c:pt>
                <c:pt idx="8">
                  <c:v>1.2183833333333332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6B-4389-9977-CA37A51E2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757848"/>
        <c:axId val="943608080"/>
      </c:scatterChart>
      <c:valAx>
        <c:axId val="80275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608080"/>
        <c:crosses val="autoZero"/>
        <c:crossBetween val="midCat"/>
      </c:valAx>
      <c:valAx>
        <c:axId val="94360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757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pfo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3066491688538937E-3"/>
                  <c:y val="4.32892242636337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'[1]Sr- NEW KINETIC (MY)'!$V$7:$V$14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720</c:v>
                </c:pt>
              </c:numCache>
            </c:numRef>
          </c:xVal>
          <c:yVal>
            <c:numRef>
              <c:f>'[1]Sr- NEW KINETIC (MY)'!$U$7:$U$14</c:f>
              <c:numCache>
                <c:formatCode>General</c:formatCode>
                <c:ptCount val="8"/>
                <c:pt idx="0">
                  <c:v>-4.2108783784780721</c:v>
                </c:pt>
                <c:pt idx="1">
                  <c:v>-4.2842951461805514</c:v>
                </c:pt>
                <c:pt idx="2">
                  <c:v>-4.5328495244084621</c:v>
                </c:pt>
                <c:pt idx="3">
                  <c:v>-3.6723501521627266</c:v>
                </c:pt>
                <c:pt idx="4">
                  <c:v>-4.4104261091955896</c:v>
                </c:pt>
                <c:pt idx="5">
                  <c:v>-4.3714164555618709</c:v>
                </c:pt>
                <c:pt idx="6">
                  <c:v>-4.7637752161647358</c:v>
                </c:pt>
                <c:pt idx="7">
                  <c:v>-5.8546053643908174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9D-45DC-8FE0-36586376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27872"/>
        <c:axId val="907428232"/>
      </c:scatterChart>
      <c:valAx>
        <c:axId val="90742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428232"/>
        <c:crosses val="autoZero"/>
        <c:crossBetween val="midCat"/>
      </c:valAx>
      <c:valAx>
        <c:axId val="90742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42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5.3280402449693787E-2"/>
                  <c:y val="-1.599956255468066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'[1]Sr- NEW KINETIC (MY)'!$O$7:$O$15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720</c:v>
                </c:pt>
                <c:pt idx="8">
                  <c:v>1440</c:v>
                </c:pt>
              </c:numCache>
            </c:numRef>
          </c:xVal>
          <c:yVal>
            <c:numRef>
              <c:f>'[1]Sr- NEW KINETIC (MY)'!$N$7:$N$15</c:f>
              <c:numCache>
                <c:formatCode>General</c:formatCode>
                <c:ptCount val="9"/>
                <c:pt idx="0">
                  <c:v>8.9437438511761016</c:v>
                </c:pt>
                <c:pt idx="1">
                  <c:v>17.870705446097485</c:v>
                </c:pt>
                <c:pt idx="2">
                  <c:v>26.733599679196811</c:v>
                </c:pt>
                <c:pt idx="3">
                  <c:v>54.175256956253492</c:v>
                </c:pt>
                <c:pt idx="4">
                  <c:v>107.06797329248889</c:v>
                </c:pt>
                <c:pt idx="5">
                  <c:v>214.22833169686695</c:v>
                </c:pt>
                <c:pt idx="6">
                  <c:v>320.17075773746001</c:v>
                </c:pt>
                <c:pt idx="7">
                  <c:v>637.13055276974819</c:v>
                </c:pt>
                <c:pt idx="8">
                  <c:v>1271.0368365305403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31-41EB-88D4-ED69F33B0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27872"/>
        <c:axId val="805413832"/>
      </c:scatterChart>
      <c:valAx>
        <c:axId val="90742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413832"/>
        <c:crosses val="autoZero"/>
        <c:crossBetween val="midCat"/>
      </c:valAx>
      <c:valAx>
        <c:axId val="80541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42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27</xdr:row>
      <xdr:rowOff>85724</xdr:rowOff>
    </xdr:from>
    <xdr:to>
      <xdr:col>13</xdr:col>
      <xdr:colOff>285751</xdr:colOff>
      <xdr:row>41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D011A6-915D-4B95-BA9E-4F09472B9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15</xdr:row>
      <xdr:rowOff>157162</xdr:rowOff>
    </xdr:from>
    <xdr:to>
      <xdr:col>26</xdr:col>
      <xdr:colOff>504825</xdr:colOff>
      <xdr:row>30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5114B8-692C-4EC6-B05B-31BD80F31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447675</xdr:colOff>
      <xdr:row>18</xdr:row>
      <xdr:rowOff>46037</xdr:rowOff>
    </xdr:from>
    <xdr:to>
      <xdr:col>17</xdr:col>
      <xdr:colOff>142875</xdr:colOff>
      <xdr:row>32</xdr:row>
      <xdr:rowOff>122237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94B19D-933B-489E-ADA1-BC4E8147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-Combined Study"/>
      <sheetName val="HV-Combined"/>
      <sheetName val="BaSO4 removal"/>
      <sheetName val="14.06 + 18.08 Sr Kinetic study"/>
      <sheetName val="27.05 Cs Kinetic Study"/>
      <sheetName val="12.08 50 ppm Sr"/>
      <sheetName val="0408 Cs Kinetic"/>
      <sheetName val="Cs- NEW KINETIC (MY)"/>
      <sheetName val="Sr- NEW KINETIC (MY)"/>
      <sheetName val="activated clino kinetic Cs"/>
      <sheetName val="activated clino kinetic 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L6">
            <v>1.1063499999999999</v>
          </cell>
        </row>
        <row r="7">
          <cell r="L7">
            <v>1.1424833333333333</v>
          </cell>
        </row>
        <row r="8">
          <cell r="L8">
            <v>1.1545999999999998</v>
          </cell>
        </row>
        <row r="9">
          <cell r="L9">
            <v>1.1756166666666668</v>
          </cell>
        </row>
        <row r="10">
          <cell r="L10">
            <v>1.1972166666666666</v>
          </cell>
        </row>
        <row r="11">
          <cell r="L11">
            <v>1.2040499999999998</v>
          </cell>
        </row>
        <row r="12">
          <cell r="L12">
            <v>1.2090999999999998</v>
          </cell>
        </row>
        <row r="13">
          <cell r="L13">
            <v>1.2131166666666666</v>
          </cell>
        </row>
        <row r="14">
          <cell r="L14">
            <v>1.2183833333333332</v>
          </cell>
        </row>
        <row r="31">
          <cell r="E31">
            <v>1.0048924087532289</v>
          </cell>
          <cell r="F31">
            <v>10</v>
          </cell>
        </row>
        <row r="32">
          <cell r="E32">
            <v>1.1017419720584816</v>
          </cell>
          <cell r="F32">
            <v>20</v>
          </cell>
        </row>
        <row r="33">
          <cell r="E33">
            <v>1.1383113795747877</v>
          </cell>
          <cell r="F33">
            <v>30</v>
          </cell>
        </row>
        <row r="34">
          <cell r="E34">
            <v>1.1773917822304933</v>
          </cell>
          <cell r="F34">
            <v>60</v>
          </cell>
        </row>
        <row r="35">
          <cell r="E35">
            <v>1.1979558376100694</v>
          </cell>
          <cell r="F35">
            <v>120</v>
          </cell>
        </row>
        <row r="36">
          <cell r="E36">
            <v>1.208509613761394</v>
          </cell>
          <cell r="F36">
            <v>240</v>
          </cell>
        </row>
        <row r="37">
          <cell r="E37">
            <v>1.2120689839080288</v>
          </cell>
          <cell r="F37">
            <v>360</v>
          </cell>
        </row>
        <row r="38">
          <cell r="E38">
            <v>1.2156493825011208</v>
          </cell>
          <cell r="F38">
            <v>720</v>
          </cell>
        </row>
        <row r="39">
          <cell r="E39">
            <v>1.217447525786016</v>
          </cell>
          <cell r="F39">
            <v>1440</v>
          </cell>
        </row>
      </sheetData>
      <sheetData sheetId="8">
        <row r="7">
          <cell r="N7">
            <v>8.9437438511761016</v>
          </cell>
          <cell r="O7">
            <v>10</v>
          </cell>
          <cell r="U7">
            <v>-4.2108783784780721</v>
          </cell>
          <cell r="V7">
            <v>10</v>
          </cell>
        </row>
        <row r="8">
          <cell r="N8">
            <v>17.870705446097485</v>
          </cell>
          <cell r="O8">
            <v>20</v>
          </cell>
          <cell r="U8">
            <v>-4.2842951461805514</v>
          </cell>
          <cell r="V8">
            <v>20</v>
          </cell>
        </row>
        <row r="9">
          <cell r="N9">
            <v>26.733599679196811</v>
          </cell>
          <cell r="O9">
            <v>30</v>
          </cell>
          <cell r="U9">
            <v>-4.5328495244084621</v>
          </cell>
          <cell r="V9">
            <v>30</v>
          </cell>
        </row>
        <row r="10">
          <cell r="N10">
            <v>54.175256956253492</v>
          </cell>
          <cell r="O10">
            <v>60</v>
          </cell>
          <cell r="U10">
            <v>-3.6723501521627266</v>
          </cell>
          <cell r="V10">
            <v>60</v>
          </cell>
        </row>
        <row r="11">
          <cell r="N11">
            <v>107.06797329248889</v>
          </cell>
          <cell r="O11">
            <v>120</v>
          </cell>
          <cell r="U11">
            <v>-4.4104261091955896</v>
          </cell>
          <cell r="V11">
            <v>120</v>
          </cell>
        </row>
        <row r="12">
          <cell r="N12">
            <v>214.22833169686695</v>
          </cell>
          <cell r="O12">
            <v>240</v>
          </cell>
          <cell r="U12">
            <v>-4.3714164555618709</v>
          </cell>
          <cell r="V12">
            <v>240</v>
          </cell>
        </row>
        <row r="13">
          <cell r="N13">
            <v>320.17075773746001</v>
          </cell>
          <cell r="O13">
            <v>360</v>
          </cell>
          <cell r="U13">
            <v>-4.7637752161647358</v>
          </cell>
          <cell r="V13">
            <v>360</v>
          </cell>
        </row>
        <row r="14">
          <cell r="N14">
            <v>637.13055276974819</v>
          </cell>
          <cell r="O14">
            <v>720</v>
          </cell>
          <cell r="U14">
            <v>-5.8546053643908174</v>
          </cell>
          <cell r="V14">
            <v>720</v>
          </cell>
        </row>
        <row r="15">
          <cell r="N15">
            <v>1271.0368365305403</v>
          </cell>
          <cell r="O15">
            <v>1440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workbookViewId="0">
      <selection activeCell="J27" sqref="J27"/>
    </sheetView>
  </sheetViews>
  <sheetFormatPr defaultRowHeight="15" x14ac:dyDescent="0.25"/>
  <cols>
    <col min="1" max="1" width="15.5703125" customWidth="1"/>
    <col min="8" max="8" width="13.5703125" customWidth="1"/>
    <col min="9" max="9" width="13.140625" customWidth="1"/>
  </cols>
  <sheetData>
    <row r="1" spans="1:27" x14ac:dyDescent="0.25">
      <c r="A1" t="s">
        <v>0</v>
      </c>
      <c r="B1">
        <v>25</v>
      </c>
      <c r="C1" t="s">
        <v>1</v>
      </c>
      <c r="D1" t="s">
        <v>2</v>
      </c>
      <c r="I1" s="1" t="s">
        <v>3</v>
      </c>
      <c r="J1" s="1"/>
      <c r="O1" t="s">
        <v>4</v>
      </c>
    </row>
    <row r="2" spans="1:27" x14ac:dyDescent="0.25">
      <c r="A2" t="s">
        <v>5</v>
      </c>
      <c r="B2">
        <v>20</v>
      </c>
      <c r="C2" t="s">
        <v>6</v>
      </c>
    </row>
    <row r="3" spans="1:27" ht="15.75" thickBot="1" x14ac:dyDescent="0.3">
      <c r="B3">
        <f>B2/1000</f>
        <v>0.02</v>
      </c>
      <c r="C3" t="s">
        <v>7</v>
      </c>
    </row>
    <row r="4" spans="1:27" ht="45" x14ac:dyDescent="0.25">
      <c r="E4" t="s">
        <v>8</v>
      </c>
      <c r="F4" t="s">
        <v>9</v>
      </c>
      <c r="K4" s="2" t="s">
        <v>10</v>
      </c>
      <c r="L4" s="2" t="s">
        <v>11</v>
      </c>
      <c r="N4" s="3" t="s">
        <v>12</v>
      </c>
      <c r="O4" s="4"/>
      <c r="S4" s="5" t="s">
        <v>13</v>
      </c>
      <c r="T4" s="6"/>
      <c r="U4" s="6"/>
      <c r="V4" s="6"/>
      <c r="W4" s="6"/>
      <c r="X4" s="6"/>
      <c r="Y4" s="6"/>
      <c r="Z4" s="6"/>
      <c r="AA4" s="7"/>
    </row>
    <row r="5" spans="1:27" x14ac:dyDescent="0.25">
      <c r="D5" t="s">
        <v>14</v>
      </c>
      <c r="E5" t="s">
        <v>15</v>
      </c>
      <c r="F5">
        <v>1</v>
      </c>
      <c r="G5">
        <v>2</v>
      </c>
      <c r="H5">
        <v>3</v>
      </c>
      <c r="I5" t="s">
        <v>16</v>
      </c>
      <c r="J5" t="s">
        <v>17</v>
      </c>
      <c r="K5" t="s">
        <v>18</v>
      </c>
      <c r="L5" t="s">
        <v>19</v>
      </c>
      <c r="N5" t="s">
        <v>20</v>
      </c>
      <c r="O5" t="s">
        <v>21</v>
      </c>
      <c r="S5" s="8"/>
      <c r="T5" t="s">
        <v>22</v>
      </c>
      <c r="U5" t="s">
        <v>21</v>
      </c>
      <c r="W5" t="s">
        <v>23</v>
      </c>
      <c r="AA5" s="9"/>
    </row>
    <row r="6" spans="1:27" x14ac:dyDescent="0.25">
      <c r="D6">
        <v>0.16666666666666666</v>
      </c>
      <c r="E6">
        <v>10</v>
      </c>
      <c r="F6">
        <v>3.085</v>
      </c>
      <c r="G6">
        <v>3.1080000000000001</v>
      </c>
      <c r="H6">
        <v>2.4260000000000002</v>
      </c>
      <c r="I6">
        <v>2.8729999999999998</v>
      </c>
      <c r="J6">
        <v>88.507999999999996</v>
      </c>
      <c r="K6" s="10">
        <v>2.2127000000000001E-2</v>
      </c>
      <c r="L6">
        <f>(($B$1-I6)*$B$3)/$B$9</f>
        <v>1.1063499999999999</v>
      </c>
      <c r="N6">
        <f>(($B$1-I6)*$B$3)/L6</f>
        <v>0.4</v>
      </c>
      <c r="O6">
        <f>N6/$B$3</f>
        <v>20</v>
      </c>
      <c r="S6" s="8"/>
      <c r="T6">
        <f>(($B$1-I6)*$B$3)/K6</f>
        <v>20</v>
      </c>
      <c r="U6">
        <f>T6/$B$3</f>
        <v>1000</v>
      </c>
      <c r="W6" s="10">
        <f>(($B$1-I6)*$B$3)/T6</f>
        <v>2.2127000000000001E-2</v>
      </c>
      <c r="AA6" s="9"/>
    </row>
    <row r="7" spans="1:27" x14ac:dyDescent="0.25">
      <c r="D7">
        <v>0.33333333333333331</v>
      </c>
      <c r="E7">
        <v>20</v>
      </c>
      <c r="F7">
        <v>2.085</v>
      </c>
      <c r="G7">
        <v>2.0870000000000002</v>
      </c>
      <c r="H7">
        <v>2.2789999999999999</v>
      </c>
      <c r="I7">
        <v>2.1503333333333337</v>
      </c>
      <c r="J7">
        <v>91.398666666666671</v>
      </c>
      <c r="K7" s="10">
        <v>2.2849666666666667E-2</v>
      </c>
      <c r="L7">
        <f t="shared" ref="L7:L14" si="0">(($B$1-I7)*$B$3)/$B$9</f>
        <v>1.1424833333333333</v>
      </c>
      <c r="N7">
        <f t="shared" ref="N7:N14" si="1">(($B$1-I7)*$B$3)/L7</f>
        <v>0.4</v>
      </c>
      <c r="O7">
        <f t="shared" ref="O7:O14" si="2">N7/$B$3</f>
        <v>20</v>
      </c>
      <c r="S7" s="8"/>
      <c r="T7">
        <f t="shared" ref="T7:T14" si="3">(($B$1-I7)*$B$3)/K7</f>
        <v>20</v>
      </c>
      <c r="U7">
        <f t="shared" ref="U7:U14" si="4">T7/$B$3</f>
        <v>1000</v>
      </c>
      <c r="W7" s="10">
        <f t="shared" ref="W7:W14" si="5">(($B$1-I7)*$B$3)/T7</f>
        <v>2.2849666666666667E-2</v>
      </c>
      <c r="AA7" s="9"/>
    </row>
    <row r="8" spans="1:27" x14ac:dyDescent="0.25">
      <c r="A8" t="s">
        <v>24</v>
      </c>
      <c r="B8">
        <v>20</v>
      </c>
      <c r="C8" t="s">
        <v>21</v>
      </c>
      <c r="D8">
        <v>0.5</v>
      </c>
      <c r="E8">
        <v>30</v>
      </c>
      <c r="F8">
        <v>1.7669999999999999</v>
      </c>
      <c r="G8">
        <v>1.821</v>
      </c>
      <c r="H8">
        <v>2.1360000000000001</v>
      </c>
      <c r="I8">
        <v>1.9080000000000001</v>
      </c>
      <c r="J8">
        <v>92.367999999999995</v>
      </c>
      <c r="K8" s="10">
        <v>2.3091999999999998E-2</v>
      </c>
      <c r="L8">
        <f t="shared" si="0"/>
        <v>1.1545999999999998</v>
      </c>
      <c r="N8">
        <f t="shared" si="1"/>
        <v>0.4</v>
      </c>
      <c r="O8">
        <f t="shared" si="2"/>
        <v>20</v>
      </c>
      <c r="S8" s="8"/>
      <c r="T8">
        <f t="shared" si="3"/>
        <v>20</v>
      </c>
      <c r="U8">
        <f t="shared" si="4"/>
        <v>1000</v>
      </c>
      <c r="W8" s="10">
        <f t="shared" si="5"/>
        <v>2.3091999999999998E-2</v>
      </c>
      <c r="AA8" s="9"/>
    </row>
    <row r="9" spans="1:27" x14ac:dyDescent="0.25">
      <c r="A9" t="s">
        <v>25</v>
      </c>
      <c r="B9">
        <f>B8*B3</f>
        <v>0.4</v>
      </c>
      <c r="C9" t="s">
        <v>26</v>
      </c>
      <c r="D9">
        <v>1</v>
      </c>
      <c r="E9">
        <v>60</v>
      </c>
      <c r="F9">
        <v>1.516</v>
      </c>
      <c r="G9">
        <v>1.2729999999999999</v>
      </c>
      <c r="H9">
        <v>1.6739999999999999</v>
      </c>
      <c r="I9">
        <v>1.4876666666666665</v>
      </c>
      <c r="J9">
        <v>94.049333333333337</v>
      </c>
      <c r="K9" s="10">
        <v>2.3512333333333336E-2</v>
      </c>
      <c r="L9">
        <f t="shared" si="0"/>
        <v>1.1756166666666668</v>
      </c>
      <c r="N9">
        <f t="shared" si="1"/>
        <v>0.4</v>
      </c>
      <c r="O9">
        <f t="shared" si="2"/>
        <v>20</v>
      </c>
      <c r="S9" s="8"/>
      <c r="T9">
        <f t="shared" si="3"/>
        <v>20</v>
      </c>
      <c r="U9">
        <f t="shared" si="4"/>
        <v>1000</v>
      </c>
      <c r="W9" s="10">
        <f t="shared" si="5"/>
        <v>2.3512333333333336E-2</v>
      </c>
      <c r="AA9" s="9"/>
    </row>
    <row r="10" spans="1:27" x14ac:dyDescent="0.25">
      <c r="D10">
        <v>2</v>
      </c>
      <c r="E10">
        <v>120</v>
      </c>
      <c r="F10">
        <v>1.093</v>
      </c>
      <c r="G10">
        <v>1.044</v>
      </c>
      <c r="H10">
        <v>1.03</v>
      </c>
      <c r="I10">
        <v>1.0556666666666665</v>
      </c>
      <c r="J10">
        <v>95.777333333333331</v>
      </c>
      <c r="K10" s="10">
        <v>2.3944333333333331E-2</v>
      </c>
      <c r="L10">
        <f t="shared" si="0"/>
        <v>1.1972166666666666</v>
      </c>
      <c r="N10">
        <f t="shared" si="1"/>
        <v>0.4</v>
      </c>
      <c r="O10">
        <f t="shared" si="2"/>
        <v>20</v>
      </c>
      <c r="S10" s="8"/>
      <c r="T10">
        <f t="shared" si="3"/>
        <v>20.000000000000004</v>
      </c>
      <c r="U10">
        <f t="shared" si="4"/>
        <v>1000.0000000000001</v>
      </c>
      <c r="W10" s="10">
        <f t="shared" si="5"/>
        <v>2.3944333333333331E-2</v>
      </c>
      <c r="AA10" s="9"/>
    </row>
    <row r="11" spans="1:27" x14ac:dyDescent="0.25">
      <c r="D11">
        <v>4</v>
      </c>
      <c r="E11">
        <v>240</v>
      </c>
      <c r="F11">
        <v>0.80200000000000005</v>
      </c>
      <c r="G11">
        <v>0.93200000000000005</v>
      </c>
      <c r="H11">
        <v>1.0229999999999999</v>
      </c>
      <c r="I11">
        <v>0.91899999999999993</v>
      </c>
      <c r="J11">
        <v>96.323999999999998</v>
      </c>
      <c r="K11" s="10">
        <v>2.4081000000000002E-2</v>
      </c>
      <c r="L11">
        <f t="shared" si="0"/>
        <v>1.2040499999999998</v>
      </c>
      <c r="N11">
        <f t="shared" si="1"/>
        <v>0.4</v>
      </c>
      <c r="O11">
        <f t="shared" si="2"/>
        <v>20</v>
      </c>
      <c r="S11" s="8"/>
      <c r="T11">
        <f t="shared" si="3"/>
        <v>20</v>
      </c>
      <c r="U11">
        <f t="shared" si="4"/>
        <v>1000</v>
      </c>
      <c r="W11" s="10">
        <f t="shared" si="5"/>
        <v>2.4080999999999998E-2</v>
      </c>
      <c r="AA11" s="9"/>
    </row>
    <row r="12" spans="1:27" x14ac:dyDescent="0.25">
      <c r="D12">
        <v>6</v>
      </c>
      <c r="E12">
        <v>360</v>
      </c>
      <c r="F12">
        <v>0.76400000000000001</v>
      </c>
      <c r="G12">
        <v>0.83699999999999997</v>
      </c>
      <c r="H12">
        <v>0.85299999999999998</v>
      </c>
      <c r="I12">
        <v>0.81799999999999995</v>
      </c>
      <c r="J12">
        <v>96.727999999999994</v>
      </c>
      <c r="K12" s="10">
        <v>2.4181999999999999E-2</v>
      </c>
      <c r="L12">
        <f t="shared" si="0"/>
        <v>1.2090999999999998</v>
      </c>
      <c r="N12">
        <f t="shared" si="1"/>
        <v>0.4</v>
      </c>
      <c r="O12">
        <f t="shared" si="2"/>
        <v>20</v>
      </c>
      <c r="S12" s="8"/>
      <c r="T12">
        <f t="shared" si="3"/>
        <v>20</v>
      </c>
      <c r="U12">
        <f t="shared" si="4"/>
        <v>1000</v>
      </c>
      <c r="W12" s="10">
        <f t="shared" si="5"/>
        <v>2.4181999999999999E-2</v>
      </c>
      <c r="AA12" s="9"/>
    </row>
    <row r="13" spans="1:27" x14ac:dyDescent="0.25">
      <c r="D13">
        <v>12</v>
      </c>
      <c r="E13">
        <v>720</v>
      </c>
      <c r="F13">
        <v>0.52800000000000002</v>
      </c>
      <c r="G13">
        <v>0.91200000000000003</v>
      </c>
      <c r="H13">
        <v>0.77300000000000002</v>
      </c>
      <c r="I13">
        <v>0.73766666666666669</v>
      </c>
      <c r="J13">
        <v>97.049333333333337</v>
      </c>
      <c r="K13" s="10">
        <v>2.4262333333333334E-2</v>
      </c>
      <c r="L13">
        <f t="shared" si="0"/>
        <v>1.2131166666666666</v>
      </c>
      <c r="N13">
        <f t="shared" si="1"/>
        <v>0.40000000000000008</v>
      </c>
      <c r="O13">
        <f t="shared" si="2"/>
        <v>20.000000000000004</v>
      </c>
      <c r="S13" s="8"/>
      <c r="T13">
        <f t="shared" si="3"/>
        <v>20</v>
      </c>
      <c r="U13">
        <f t="shared" si="4"/>
        <v>1000</v>
      </c>
      <c r="W13" s="10">
        <f t="shared" si="5"/>
        <v>2.4262333333333337E-2</v>
      </c>
      <c r="AA13" s="9"/>
    </row>
    <row r="14" spans="1:27" x14ac:dyDescent="0.25">
      <c r="D14">
        <v>24</v>
      </c>
      <c r="E14">
        <v>1440</v>
      </c>
      <c r="F14">
        <v>0.53900000000000003</v>
      </c>
      <c r="G14">
        <v>0.68400000000000005</v>
      </c>
      <c r="H14">
        <v>0.67400000000000004</v>
      </c>
      <c r="I14">
        <v>0.63233333333333341</v>
      </c>
      <c r="J14">
        <v>97.470666666666659</v>
      </c>
      <c r="K14" s="10">
        <v>2.4367666666666662E-2</v>
      </c>
      <c r="L14">
        <f t="shared" si="0"/>
        <v>1.2183833333333332</v>
      </c>
      <c r="N14">
        <f t="shared" si="1"/>
        <v>0.4</v>
      </c>
      <c r="O14">
        <f t="shared" si="2"/>
        <v>20</v>
      </c>
      <c r="S14" s="8"/>
      <c r="T14">
        <f t="shared" si="3"/>
        <v>20.000000000000004</v>
      </c>
      <c r="U14">
        <f t="shared" si="4"/>
        <v>1000.0000000000001</v>
      </c>
      <c r="W14" s="10">
        <f t="shared" si="5"/>
        <v>2.4367666666666662E-2</v>
      </c>
      <c r="AA14" s="9"/>
    </row>
    <row r="15" spans="1:27" ht="15.75" thickBot="1" x14ac:dyDescent="0.3">
      <c r="S15" s="11"/>
      <c r="T15" s="12"/>
      <c r="U15" s="12"/>
      <c r="V15" s="12"/>
      <c r="W15" s="12"/>
      <c r="X15" s="12"/>
      <c r="Y15" s="12"/>
      <c r="Z15" s="12"/>
      <c r="AA15" s="13"/>
    </row>
    <row r="18" spans="2:20" ht="26.25" x14ac:dyDescent="0.4">
      <c r="E18" s="14" t="s">
        <v>27</v>
      </c>
      <c r="F18" s="15"/>
      <c r="N18" s="15" t="s">
        <v>28</v>
      </c>
    </row>
    <row r="19" spans="2:20" x14ac:dyDescent="0.25">
      <c r="E19" t="s">
        <v>29</v>
      </c>
      <c r="F19" t="s">
        <v>30</v>
      </c>
      <c r="H19" t="s">
        <v>31</v>
      </c>
      <c r="I19" t="s">
        <v>32</v>
      </c>
      <c r="O19" t="s">
        <v>28</v>
      </c>
    </row>
    <row r="20" spans="2:20" x14ac:dyDescent="0.25">
      <c r="E20">
        <f>E6/L6</f>
        <v>9.0387309621729113</v>
      </c>
      <c r="F20">
        <v>10</v>
      </c>
      <c r="H20">
        <f>SLOPE(E20:E28,F20:F28)</f>
        <v>0.82017566761599003</v>
      </c>
      <c r="I20">
        <f>INTERCEPT(E20:E28,F20:F28)</f>
        <v>1.7495574276126717</v>
      </c>
      <c r="P20" t="s">
        <v>33</v>
      </c>
      <c r="Q20" t="s">
        <v>30</v>
      </c>
      <c r="S20" t="s">
        <v>31</v>
      </c>
      <c r="T20" t="s">
        <v>32</v>
      </c>
    </row>
    <row r="21" spans="2:20" x14ac:dyDescent="0.25">
      <c r="E21">
        <f t="shared" ref="E21:E28" si="6">E7/L7</f>
        <v>17.505725831157275</v>
      </c>
      <c r="F21">
        <v>20</v>
      </c>
      <c r="H21" t="s">
        <v>34</v>
      </c>
      <c r="I21" t="s">
        <v>35</v>
      </c>
      <c r="P21">
        <f>LN($L$14-L6)</f>
        <v>-2.1889588329191878</v>
      </c>
      <c r="Q21">
        <v>10</v>
      </c>
      <c r="S21" s="16">
        <f>SLOPE(P21:P28,Q21:Q28)</f>
        <v>-4.022182349352455E-3</v>
      </c>
      <c r="T21">
        <f>INTERCEPT(P21:P28,Q21:Q28)</f>
        <v>-2.802917494614964</v>
      </c>
    </row>
    <row r="22" spans="2:20" x14ac:dyDescent="0.25">
      <c r="B22">
        <f>50*0.4</f>
        <v>20</v>
      </c>
      <c r="E22">
        <f t="shared" si="6"/>
        <v>25.983024424042963</v>
      </c>
      <c r="F22">
        <v>30</v>
      </c>
      <c r="H22" s="17">
        <f>1/H20</f>
        <v>1.219250996444099</v>
      </c>
      <c r="I22" s="17">
        <f>(H20^2)/I20</f>
        <v>0.38449045177513258</v>
      </c>
      <c r="P22">
        <f t="shared" ref="P22:P28" si="7">LN($L$14-L7)</f>
        <v>-2.5783385945805546</v>
      </c>
      <c r="Q22">
        <v>20</v>
      </c>
      <c r="S22" t="s">
        <v>36</v>
      </c>
      <c r="T22" t="s">
        <v>37</v>
      </c>
    </row>
    <row r="23" spans="2:20" x14ac:dyDescent="0.25">
      <c r="E23">
        <f t="shared" si="6"/>
        <v>51.037044388051655</v>
      </c>
      <c r="F23">
        <v>60</v>
      </c>
      <c r="H23" t="s">
        <v>38</v>
      </c>
      <c r="I23" t="s">
        <v>39</v>
      </c>
      <c r="P23">
        <f>LN($L$14-L8)</f>
        <v>-2.7522633557785361</v>
      </c>
      <c r="Q23">
        <v>30</v>
      </c>
      <c r="S23" s="16">
        <f>-S21</f>
        <v>4.022182349352455E-3</v>
      </c>
      <c r="T23">
        <f>EXP(T21)</f>
        <v>6.0632908144253622E-2</v>
      </c>
    </row>
    <row r="24" spans="2:20" x14ac:dyDescent="0.25">
      <c r="E24">
        <f t="shared" si="6"/>
        <v>100.23248367741846</v>
      </c>
      <c r="F24">
        <v>120</v>
      </c>
      <c r="H24">
        <f>RSQ(E20:E28,F20:F28)</f>
        <v>0.99999601028483909</v>
      </c>
      <c r="I24">
        <f>I22*(H22^2)</f>
        <v>0.57157312141764482</v>
      </c>
      <c r="P24">
        <f t="shared" si="7"/>
        <v>-3.1519962960286625</v>
      </c>
      <c r="Q24">
        <v>60</v>
      </c>
    </row>
    <row r="25" spans="2:20" x14ac:dyDescent="0.25">
      <c r="E25">
        <f t="shared" si="6"/>
        <v>199.32727046219014</v>
      </c>
      <c r="F25">
        <v>240</v>
      </c>
      <c r="P25">
        <f t="shared" si="7"/>
        <v>-3.8553276617516059</v>
      </c>
      <c r="Q25">
        <v>120</v>
      </c>
      <c r="S25" t="s">
        <v>38</v>
      </c>
    </row>
    <row r="26" spans="2:20" x14ac:dyDescent="0.25">
      <c r="E26">
        <f t="shared" si="6"/>
        <v>297.74212223968243</v>
      </c>
      <c r="F26">
        <v>360</v>
      </c>
      <c r="P26">
        <f t="shared" si="7"/>
        <v>-4.2451674519566858</v>
      </c>
      <c r="Q26">
        <v>240</v>
      </c>
      <c r="S26">
        <f>RSQ(P21:P28,Q21:Q28)</f>
        <v>0.81919454635906208</v>
      </c>
    </row>
    <row r="27" spans="2:20" x14ac:dyDescent="0.25">
      <c r="E27">
        <f t="shared" si="6"/>
        <v>593.51257779548553</v>
      </c>
      <c r="F27">
        <v>720</v>
      </c>
      <c r="P27">
        <f t="shared" si="7"/>
        <v>-4.6795346012769565</v>
      </c>
      <c r="Q27">
        <v>360</v>
      </c>
    </row>
    <row r="28" spans="2:20" x14ac:dyDescent="0.25">
      <c r="E28">
        <f t="shared" si="6"/>
        <v>1181.8940399162827</v>
      </c>
      <c r="F28">
        <v>1440</v>
      </c>
      <c r="P28">
        <f t="shared" si="7"/>
        <v>-5.2463576276173516</v>
      </c>
      <c r="Q28">
        <v>720</v>
      </c>
    </row>
    <row r="29" spans="2:20" x14ac:dyDescent="0.25">
      <c r="P29" t="e">
        <f>LN($L$14-L14)</f>
        <v>#NUM!</v>
      </c>
      <c r="Q29">
        <v>1440</v>
      </c>
    </row>
    <row r="30" spans="2:20" x14ac:dyDescent="0.25">
      <c r="E30" t="s">
        <v>40</v>
      </c>
      <c r="F30" t="s">
        <v>30</v>
      </c>
    </row>
    <row r="31" spans="2:20" x14ac:dyDescent="0.25">
      <c r="E31">
        <f>(($I$22*($H$22^2))/(1+($I$22*$H$22*F20))*F20)</f>
        <v>1.0048924087532289</v>
      </c>
      <c r="F31">
        <v>10</v>
      </c>
    </row>
    <row r="32" spans="2:20" x14ac:dyDescent="0.25">
      <c r="E32">
        <f t="shared" ref="E32:E38" si="8">(($I$22*($H$22^2))/(1+($I$22*$H$22*F21))*F21)</f>
        <v>1.1017419720584816</v>
      </c>
      <c r="F32">
        <v>20</v>
      </c>
    </row>
    <row r="33" spans="5:6" x14ac:dyDescent="0.25">
      <c r="E33">
        <f t="shared" si="8"/>
        <v>1.1383113795747877</v>
      </c>
      <c r="F33">
        <v>30</v>
      </c>
    </row>
    <row r="34" spans="5:6" x14ac:dyDescent="0.25">
      <c r="E34">
        <f t="shared" si="8"/>
        <v>1.1773917822304933</v>
      </c>
      <c r="F34">
        <v>60</v>
      </c>
    </row>
    <row r="35" spans="5:6" x14ac:dyDescent="0.25">
      <c r="E35">
        <f t="shared" si="8"/>
        <v>1.1979558376100694</v>
      </c>
      <c r="F35">
        <v>120</v>
      </c>
    </row>
    <row r="36" spans="5:6" x14ac:dyDescent="0.25">
      <c r="E36">
        <f t="shared" si="8"/>
        <v>1.208509613761394</v>
      </c>
      <c r="F36">
        <v>240</v>
      </c>
    </row>
    <row r="37" spans="5:6" x14ac:dyDescent="0.25">
      <c r="E37">
        <f>(($I$22*($H$22^2))/(1+($I$22*$H$22*F26))*F26)</f>
        <v>1.2120689839080288</v>
      </c>
      <c r="F37">
        <v>360</v>
      </c>
    </row>
    <row r="38" spans="5:6" x14ac:dyDescent="0.25">
      <c r="E38">
        <f t="shared" si="8"/>
        <v>1.2156493825011208</v>
      </c>
      <c r="F38">
        <v>720</v>
      </c>
    </row>
    <row r="39" spans="5:6" x14ac:dyDescent="0.25">
      <c r="E39">
        <f>(($I$22*($H$22^2))/(1+($I$22*$H$22*F28))*F28)</f>
        <v>1.217447525786016</v>
      </c>
      <c r="F39">
        <v>1440</v>
      </c>
    </row>
  </sheetData>
  <mergeCells count="1">
    <mergeCell ref="S4:A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59D63-F5E3-4C08-8874-B59CBF2B20E0}">
  <dimension ref="A1:Y15"/>
  <sheetViews>
    <sheetView workbookViewId="0">
      <selection activeCell="C16" sqref="C16"/>
    </sheetView>
  </sheetViews>
  <sheetFormatPr defaultRowHeight="15" x14ac:dyDescent="0.25"/>
  <cols>
    <col min="1" max="1" width="14.7109375" customWidth="1"/>
  </cols>
  <sheetData>
    <row r="1" spans="1:25" x14ac:dyDescent="0.25">
      <c r="A1" t="s">
        <v>0</v>
      </c>
      <c r="B1">
        <v>25</v>
      </c>
      <c r="C1" t="s">
        <v>1</v>
      </c>
      <c r="D1" t="s">
        <v>2</v>
      </c>
      <c r="J1" s="1" t="s">
        <v>3</v>
      </c>
      <c r="K1" s="1"/>
    </row>
    <row r="2" spans="1:25" x14ac:dyDescent="0.25">
      <c r="A2" t="s">
        <v>5</v>
      </c>
      <c r="B2">
        <v>20</v>
      </c>
      <c r="C2" t="s">
        <v>6</v>
      </c>
    </row>
    <row r="3" spans="1:25" x14ac:dyDescent="0.25">
      <c r="B3">
        <f>B2/1000</f>
        <v>0.02</v>
      </c>
      <c r="C3" t="s">
        <v>7</v>
      </c>
    </row>
    <row r="4" spans="1:25" x14ac:dyDescent="0.25">
      <c r="N4" s="15" t="s">
        <v>41</v>
      </c>
      <c r="U4" s="15" t="s">
        <v>28</v>
      </c>
    </row>
    <row r="5" spans="1:25" ht="45" x14ac:dyDescent="0.25">
      <c r="E5" t="s">
        <v>8</v>
      </c>
      <c r="F5" t="s">
        <v>9</v>
      </c>
      <c r="I5" t="s">
        <v>16</v>
      </c>
      <c r="K5" s="2" t="s">
        <v>10</v>
      </c>
      <c r="L5" s="2" t="s">
        <v>11</v>
      </c>
      <c r="M5" s="4"/>
      <c r="T5" t="s">
        <v>30</v>
      </c>
    </row>
    <row r="6" spans="1:25" x14ac:dyDescent="0.25">
      <c r="D6" t="s">
        <v>14</v>
      </c>
      <c r="E6" t="s">
        <v>15</v>
      </c>
      <c r="F6">
        <v>1</v>
      </c>
      <c r="G6">
        <v>2</v>
      </c>
      <c r="H6">
        <v>3</v>
      </c>
      <c r="J6" t="s">
        <v>17</v>
      </c>
      <c r="K6" t="s">
        <v>18</v>
      </c>
      <c r="L6" t="s">
        <v>19</v>
      </c>
      <c r="N6" t="s">
        <v>29</v>
      </c>
      <c r="O6" t="s">
        <v>30</v>
      </c>
      <c r="Q6" t="s">
        <v>31</v>
      </c>
      <c r="R6" t="s">
        <v>32</v>
      </c>
      <c r="S6" t="s">
        <v>40</v>
      </c>
      <c r="U6" t="s">
        <v>33</v>
      </c>
      <c r="V6" t="s">
        <v>30</v>
      </c>
      <c r="X6" t="s">
        <v>31</v>
      </c>
      <c r="Y6" t="s">
        <v>32</v>
      </c>
    </row>
    <row r="7" spans="1:25" x14ac:dyDescent="0.25">
      <c r="D7">
        <f>10/60</f>
        <v>0.16666666666666666</v>
      </c>
      <c r="E7">
        <v>10</v>
      </c>
      <c r="F7">
        <v>2.6560000000000001</v>
      </c>
      <c r="G7">
        <v>2.601</v>
      </c>
      <c r="H7">
        <v>2.657</v>
      </c>
      <c r="I7">
        <f t="shared" ref="I7:I15" si="0">AVERAGE(F7:H7)</f>
        <v>2.6379999999999999</v>
      </c>
      <c r="J7">
        <f>(($B$1-I7)/$B$1)*100</f>
        <v>89.448000000000008</v>
      </c>
      <c r="K7" s="18">
        <f>(($B$1-I7)/$B$2)*$B$3</f>
        <v>2.2362000000000003E-2</v>
      </c>
      <c r="L7" s="19">
        <f>(($B$1-I7)*$B$3)/$B$11</f>
        <v>1.1181000000000001</v>
      </c>
      <c r="N7">
        <f>E7/L7</f>
        <v>8.9437438511761016</v>
      </c>
      <c r="O7">
        <f>E7</f>
        <v>10</v>
      </c>
      <c r="Q7">
        <f>SLOPE(N7:N15,O7:O15)</f>
        <v>0.88250023764109364</v>
      </c>
      <c r="R7">
        <f>INTERCEPT(N7:N15,O7:O15)</f>
        <v>1.0952272262830434</v>
      </c>
      <c r="S7">
        <f t="shared" ref="S7:S15" si="1">(($R$10*($Q$10^2))/(1+($R$10*$Q$10*O7))*O7)</f>
        <v>1.0080411845794737</v>
      </c>
      <c r="U7">
        <f>LN($L$15-L7)</f>
        <v>-4.2108783784780721</v>
      </c>
      <c r="V7">
        <v>10</v>
      </c>
      <c r="X7">
        <f>SLOPE(U7:U14,V7:V14)</f>
        <v>-2.2651400109638103E-3</v>
      </c>
      <c r="Y7">
        <f>INTERCEPT(U7:U14,V7:V14)</f>
        <v>-4.0708722411799103</v>
      </c>
    </row>
    <row r="8" spans="1:25" x14ac:dyDescent="0.25">
      <c r="D8">
        <f>20/60</f>
        <v>0.33333333333333331</v>
      </c>
      <c r="E8">
        <v>20</v>
      </c>
      <c r="F8">
        <v>2.5939999999999999</v>
      </c>
      <c r="G8">
        <v>2.6469999999999998</v>
      </c>
      <c r="H8">
        <v>2.61</v>
      </c>
      <c r="I8">
        <f t="shared" si="0"/>
        <v>2.6169999999999995</v>
      </c>
      <c r="J8">
        <f t="shared" ref="J8:J15" si="2">(($B$1-I8)/$B$1)*100</f>
        <v>89.531999999999996</v>
      </c>
      <c r="K8" s="18">
        <f t="shared" ref="K8:K15" si="3">(($B$1-I8)/$B$2)*$B$3</f>
        <v>2.2382999999999997E-2</v>
      </c>
      <c r="L8" s="19">
        <f t="shared" ref="L8:L13" si="4">(($B$1-I8)*$B$3)/$B$11</f>
        <v>1.1191499999999999</v>
      </c>
      <c r="N8">
        <f t="shared" ref="N8:N15" si="5">E8/L8</f>
        <v>17.870705446097485</v>
      </c>
      <c r="O8">
        <f t="shared" ref="O8:O15" si="6">E8</f>
        <v>20</v>
      </c>
      <c r="S8">
        <f t="shared" si="1"/>
        <v>1.0669379830718426</v>
      </c>
      <c r="U8">
        <f t="shared" ref="U8:U15" si="7">LN($L$15-L8)</f>
        <v>-4.2842951461805514</v>
      </c>
      <c r="V8">
        <v>20</v>
      </c>
    </row>
    <row r="9" spans="1:25" x14ac:dyDescent="0.25">
      <c r="D9">
        <v>0.5</v>
      </c>
      <c r="E9">
        <v>30</v>
      </c>
      <c r="F9">
        <v>2.46</v>
      </c>
      <c r="G9">
        <v>2.6280000000000001</v>
      </c>
      <c r="H9">
        <v>2.581</v>
      </c>
      <c r="I9">
        <f t="shared" si="0"/>
        <v>2.5563333333333333</v>
      </c>
      <c r="J9">
        <f t="shared" si="2"/>
        <v>89.774666666666661</v>
      </c>
      <c r="K9" s="18">
        <f t="shared" si="3"/>
        <v>2.2443666666666667E-2</v>
      </c>
      <c r="L9" s="19">
        <f t="shared" si="4"/>
        <v>1.1221833333333331</v>
      </c>
      <c r="N9">
        <f t="shared" si="5"/>
        <v>26.733599679196811</v>
      </c>
      <c r="O9">
        <f t="shared" si="6"/>
        <v>30</v>
      </c>
      <c r="Q9" t="s">
        <v>37</v>
      </c>
      <c r="R9" t="s">
        <v>42</v>
      </c>
      <c r="S9">
        <f t="shared" si="1"/>
        <v>1.0881300323077607</v>
      </c>
      <c r="U9">
        <f t="shared" si="7"/>
        <v>-4.5328495244084621</v>
      </c>
      <c r="V9">
        <v>30</v>
      </c>
      <c r="X9" t="s">
        <v>36</v>
      </c>
      <c r="Y9" t="s">
        <v>37</v>
      </c>
    </row>
    <row r="10" spans="1:25" x14ac:dyDescent="0.25">
      <c r="A10" t="s">
        <v>24</v>
      </c>
      <c r="B10">
        <v>20</v>
      </c>
      <c r="C10" t="s">
        <v>21</v>
      </c>
      <c r="D10">
        <v>1</v>
      </c>
      <c r="E10">
        <v>60</v>
      </c>
      <c r="F10">
        <v>2.8690000000000002</v>
      </c>
      <c r="G10">
        <v>2.823</v>
      </c>
      <c r="H10">
        <v>2.8570000000000002</v>
      </c>
      <c r="I10">
        <f t="shared" si="0"/>
        <v>2.8496666666666663</v>
      </c>
      <c r="J10">
        <f t="shared" si="2"/>
        <v>88.601333333333329</v>
      </c>
      <c r="K10" s="18">
        <f t="shared" si="3"/>
        <v>2.2150333333333334E-2</v>
      </c>
      <c r="L10" s="19">
        <f t="shared" si="4"/>
        <v>1.1075166666666665</v>
      </c>
      <c r="N10">
        <f t="shared" si="5"/>
        <v>54.175256956253492</v>
      </c>
      <c r="O10">
        <f t="shared" si="6"/>
        <v>60</v>
      </c>
      <c r="Q10">
        <f>1/Q7</f>
        <v>1.1331441707856997</v>
      </c>
      <c r="R10">
        <f>(Q7^2)/R7</f>
        <v>0.71109140710433449</v>
      </c>
      <c r="S10">
        <f t="shared" si="1"/>
        <v>1.1101809956188604</v>
      </c>
      <c r="U10">
        <f t="shared" si="7"/>
        <v>-3.6723501521627266</v>
      </c>
      <c r="V10">
        <v>60</v>
      </c>
      <c r="X10">
        <f>-X7</f>
        <v>2.2651400109638103E-3</v>
      </c>
      <c r="Y10">
        <f>EXP(Y7)</f>
        <v>1.7062499400373396E-2</v>
      </c>
    </row>
    <row r="11" spans="1:25" x14ac:dyDescent="0.25">
      <c r="A11" t="s">
        <v>25</v>
      </c>
      <c r="B11">
        <f>B10*B3</f>
        <v>0.4</v>
      </c>
      <c r="D11">
        <v>2</v>
      </c>
      <c r="E11">
        <v>120</v>
      </c>
      <c r="F11">
        <v>2.5619999999999998</v>
      </c>
      <c r="G11">
        <v>2.62</v>
      </c>
      <c r="H11">
        <v>2.5710000000000002</v>
      </c>
      <c r="I11">
        <f t="shared" si="0"/>
        <v>2.5843333333333334</v>
      </c>
      <c r="J11">
        <f t="shared" si="2"/>
        <v>89.662666666666667</v>
      </c>
      <c r="K11" s="18">
        <f t="shared" si="3"/>
        <v>2.2415666666666664E-2</v>
      </c>
      <c r="L11" s="19">
        <f t="shared" si="4"/>
        <v>1.1207833333333332</v>
      </c>
      <c r="N11">
        <f t="shared" si="5"/>
        <v>107.06797329248889</v>
      </c>
      <c r="O11">
        <f t="shared" si="6"/>
        <v>120</v>
      </c>
      <c r="S11">
        <f t="shared" si="1"/>
        <v>1.1215450551190491</v>
      </c>
      <c r="U11">
        <f t="shared" si="7"/>
        <v>-4.4104261091955896</v>
      </c>
      <c r="V11">
        <v>120</v>
      </c>
    </row>
    <row r="12" spans="1:25" x14ac:dyDescent="0.25">
      <c r="D12">
        <v>4</v>
      </c>
      <c r="E12">
        <v>240</v>
      </c>
      <c r="F12">
        <v>2.6509999999999998</v>
      </c>
      <c r="G12">
        <v>2.6520000000000001</v>
      </c>
      <c r="H12">
        <v>2.4790000000000001</v>
      </c>
      <c r="I12">
        <f t="shared" si="0"/>
        <v>2.5939999999999999</v>
      </c>
      <c r="J12">
        <f t="shared" si="2"/>
        <v>89.623999999999995</v>
      </c>
      <c r="K12" s="18">
        <f t="shared" si="3"/>
        <v>2.2405999999999999E-2</v>
      </c>
      <c r="L12" s="19">
        <f t="shared" si="4"/>
        <v>1.1202999999999999</v>
      </c>
      <c r="N12">
        <f t="shared" si="5"/>
        <v>214.22833169686695</v>
      </c>
      <c r="O12">
        <f t="shared" si="6"/>
        <v>240</v>
      </c>
      <c r="Q12" t="s">
        <v>38</v>
      </c>
      <c r="R12" t="s">
        <v>39</v>
      </c>
      <c r="S12">
        <f t="shared" si="1"/>
        <v>1.1273147774693504</v>
      </c>
      <c r="U12">
        <f t="shared" si="7"/>
        <v>-4.3714164555618709</v>
      </c>
      <c r="V12">
        <v>240</v>
      </c>
      <c r="X12" t="s">
        <v>38</v>
      </c>
    </row>
    <row r="13" spans="1:25" x14ac:dyDescent="0.25">
      <c r="D13">
        <v>6</v>
      </c>
      <c r="E13">
        <v>360</v>
      </c>
      <c r="F13">
        <v>2.5009999999999999</v>
      </c>
      <c r="G13">
        <v>2.4289999999999998</v>
      </c>
      <c r="H13">
        <v>2.6059999999999999</v>
      </c>
      <c r="I13">
        <f t="shared" si="0"/>
        <v>2.512</v>
      </c>
      <c r="J13">
        <f t="shared" si="2"/>
        <v>89.951999999999998</v>
      </c>
      <c r="K13" s="18">
        <f t="shared" si="3"/>
        <v>2.2488000000000001E-2</v>
      </c>
      <c r="L13" s="19">
        <f t="shared" si="4"/>
        <v>1.1243999999999998</v>
      </c>
      <c r="N13">
        <f t="shared" si="5"/>
        <v>320.17075773746001</v>
      </c>
      <c r="O13">
        <f t="shared" si="6"/>
        <v>360</v>
      </c>
      <c r="Q13">
        <f>RSQ(N7:N15,O7:O15)</f>
        <v>0.99999482414404162</v>
      </c>
      <c r="R13">
        <f>R10*(Q10^2)</f>
        <v>0.9130525392377038</v>
      </c>
      <c r="S13">
        <f t="shared" si="1"/>
        <v>1.1292512329117474</v>
      </c>
      <c r="U13">
        <f t="shared" si="7"/>
        <v>-4.7637752161647358</v>
      </c>
      <c r="V13">
        <v>360</v>
      </c>
      <c r="X13">
        <f>RSQ(U7:U14,V7:V14)</f>
        <v>0.78682328681687774</v>
      </c>
    </row>
    <row r="14" spans="1:25" x14ac:dyDescent="0.25">
      <c r="D14">
        <v>12</v>
      </c>
      <c r="E14">
        <v>720</v>
      </c>
      <c r="F14">
        <v>2.4529999999999998</v>
      </c>
      <c r="G14">
        <v>2.375</v>
      </c>
      <c r="H14">
        <v>2.3679999999999999</v>
      </c>
      <c r="I14">
        <f t="shared" si="0"/>
        <v>2.3986666666666667</v>
      </c>
      <c r="J14">
        <f t="shared" si="2"/>
        <v>90.405333333333331</v>
      </c>
      <c r="K14" s="18">
        <f t="shared" si="3"/>
        <v>2.2601333333333331E-2</v>
      </c>
      <c r="L14" s="19">
        <f>(($B$1-I14)*$B$3)/$B$11</f>
        <v>1.1300666666666666</v>
      </c>
      <c r="N14">
        <f t="shared" si="5"/>
        <v>637.13055276974819</v>
      </c>
      <c r="O14">
        <f t="shared" si="6"/>
        <v>720</v>
      </c>
      <c r="S14">
        <f t="shared" si="1"/>
        <v>1.131194352530283</v>
      </c>
      <c r="U14">
        <f>LN($L$15-L14)</f>
        <v>-5.8546053643908174</v>
      </c>
      <c r="V14">
        <v>720</v>
      </c>
    </row>
    <row r="15" spans="1:25" x14ac:dyDescent="0.25">
      <c r="D15">
        <v>24</v>
      </c>
      <c r="E15">
        <v>1440</v>
      </c>
      <c r="F15">
        <v>2.3330000000000002</v>
      </c>
      <c r="G15">
        <v>2.3570000000000002</v>
      </c>
      <c r="H15">
        <v>2.3340000000000001</v>
      </c>
      <c r="I15">
        <f t="shared" si="0"/>
        <v>2.3413333333333335</v>
      </c>
      <c r="J15">
        <f t="shared" si="2"/>
        <v>90.634666666666661</v>
      </c>
      <c r="K15" s="18">
        <f t="shared" si="3"/>
        <v>2.2658666666666667E-2</v>
      </c>
      <c r="L15" s="19">
        <f>(($B$1-I15)*$B$3)/$B$11</f>
        <v>1.1329333333333331</v>
      </c>
      <c r="N15">
        <f t="shared" si="5"/>
        <v>1271.0368365305403</v>
      </c>
      <c r="O15">
        <f t="shared" si="6"/>
        <v>1440</v>
      </c>
      <c r="S15">
        <f t="shared" si="1"/>
        <v>1.1321684221653117</v>
      </c>
      <c r="U15" t="e">
        <f t="shared" si="7"/>
        <v>#NUM!</v>
      </c>
      <c r="V15">
        <v>1440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9BF1-CA48-47A7-ADCB-1BEB446DB3E3}">
  <dimension ref="A2:V29"/>
  <sheetViews>
    <sheetView workbookViewId="0">
      <selection activeCell="G33" sqref="G33"/>
    </sheetView>
  </sheetViews>
  <sheetFormatPr defaultRowHeight="15" x14ac:dyDescent="0.25"/>
  <sheetData>
    <row r="2" spans="1:19" x14ac:dyDescent="0.25">
      <c r="B2" t="s">
        <v>43</v>
      </c>
      <c r="C2">
        <v>10</v>
      </c>
      <c r="K2" t="s">
        <v>44</v>
      </c>
      <c r="L2">
        <v>50</v>
      </c>
    </row>
    <row r="3" spans="1:19" x14ac:dyDescent="0.25">
      <c r="C3">
        <v>50</v>
      </c>
      <c r="L3">
        <v>25</v>
      </c>
    </row>
    <row r="4" spans="1:19" x14ac:dyDescent="0.25">
      <c r="C4">
        <v>25</v>
      </c>
    </row>
    <row r="6" spans="1:19" ht="15.75" thickBot="1" x14ac:dyDescent="0.3"/>
    <row r="7" spans="1:19" ht="15.75" thickBot="1" x14ac:dyDescent="0.3">
      <c r="B7" s="20" t="s">
        <v>45</v>
      </c>
      <c r="C7" s="21"/>
      <c r="D7" s="21"/>
      <c r="E7" s="21"/>
      <c r="F7" s="22"/>
      <c r="K7" s="20" t="s">
        <v>46</v>
      </c>
      <c r="L7" s="21"/>
      <c r="M7" s="21"/>
      <c r="N7" s="21"/>
      <c r="O7" s="22"/>
    </row>
    <row r="9" spans="1:19" x14ac:dyDescent="0.25">
      <c r="C9">
        <v>1</v>
      </c>
      <c r="D9">
        <v>2</v>
      </c>
      <c r="E9">
        <v>3</v>
      </c>
      <c r="F9" t="s">
        <v>16</v>
      </c>
      <c r="G9" t="s">
        <v>17</v>
      </c>
      <c r="H9" t="s">
        <v>47</v>
      </c>
      <c r="M9">
        <v>1</v>
      </c>
      <c r="N9">
        <v>2</v>
      </c>
      <c r="O9">
        <v>3</v>
      </c>
      <c r="P9" t="s">
        <v>16</v>
      </c>
      <c r="Q9" t="s">
        <v>17</v>
      </c>
      <c r="R9" t="s">
        <v>47</v>
      </c>
    </row>
    <row r="10" spans="1:19" x14ac:dyDescent="0.25">
      <c r="A10" t="s">
        <v>48</v>
      </c>
      <c r="C10">
        <v>1.0999999999999999E-2</v>
      </c>
      <c r="D10">
        <v>6.0000000000000001E-3</v>
      </c>
      <c r="E10">
        <v>1.0999999999999999E-2</v>
      </c>
      <c r="F10">
        <f>AVERAGE(C10:E10)</f>
        <v>9.3333333333333341E-3</v>
      </c>
      <c r="G10">
        <f>(($C$2-F10)/$C$2)*100</f>
        <v>99.906666666666652</v>
      </c>
      <c r="H10" s="23">
        <v>0.58823529411764708</v>
      </c>
      <c r="I10" s="23"/>
      <c r="K10" t="s">
        <v>48</v>
      </c>
      <c r="M10">
        <v>10.130000000000001</v>
      </c>
      <c r="N10">
        <v>10.11</v>
      </c>
      <c r="O10">
        <v>10.54</v>
      </c>
      <c r="P10">
        <f>AVERAGE(M10:O10)</f>
        <v>10.26</v>
      </c>
      <c r="Q10">
        <f>(($L$2-P10)/$L$2)*100</f>
        <v>79.48</v>
      </c>
      <c r="R10">
        <v>2.9411764705882355</v>
      </c>
    </row>
    <row r="12" spans="1:19" x14ac:dyDescent="0.25">
      <c r="A12" t="s">
        <v>49</v>
      </c>
      <c r="C12">
        <v>1.2E-2</v>
      </c>
      <c r="D12">
        <v>1.0999999999999999E-2</v>
      </c>
      <c r="E12">
        <v>8.9999999999999993E-3</v>
      </c>
      <c r="F12">
        <f>AVERAGE(C12:E12)</f>
        <v>1.0666666666666666E-2</v>
      </c>
      <c r="G12">
        <f>(($C$2-F12)/$C$2)*100</f>
        <v>99.893333333333317</v>
      </c>
      <c r="H12" s="23">
        <v>0.58823529411764697</v>
      </c>
      <c r="I12" s="23"/>
      <c r="K12" t="s">
        <v>49</v>
      </c>
      <c r="M12">
        <v>10.91</v>
      </c>
      <c r="N12">
        <v>10.55</v>
      </c>
      <c r="O12">
        <v>10.96</v>
      </c>
      <c r="P12">
        <f t="shared" ref="P12" si="0">AVERAGE(M12:O12)</f>
        <v>10.806666666666667</v>
      </c>
      <c r="Q12">
        <f>(($L$2-P12)/$L$2)*100</f>
        <v>78.38666666666667</v>
      </c>
      <c r="R12">
        <v>2.9411764705882355</v>
      </c>
    </row>
    <row r="14" spans="1:19" ht="29.1" customHeight="1" x14ac:dyDescent="0.25">
      <c r="A14" t="s">
        <v>50</v>
      </c>
      <c r="C14">
        <v>2.4E-2</v>
      </c>
      <c r="D14">
        <v>2.1999999999999999E-2</v>
      </c>
      <c r="E14">
        <v>0.02</v>
      </c>
      <c r="F14">
        <f>AVERAGE(C14:E14)</f>
        <v>2.2000000000000002E-2</v>
      </c>
      <c r="G14">
        <f t="shared" ref="G14" si="1">(($C$2-F14)/$C$2)*100</f>
        <v>99.78</v>
      </c>
      <c r="H14" s="24" t="s">
        <v>51</v>
      </c>
      <c r="I14" s="24"/>
      <c r="K14" s="15" t="s">
        <v>50</v>
      </c>
      <c r="L14" s="15"/>
      <c r="M14" s="15">
        <v>43.030999999999999</v>
      </c>
      <c r="N14" s="15">
        <v>43.146999999999998</v>
      </c>
      <c r="O14" s="15">
        <v>42.850999999999999</v>
      </c>
      <c r="P14" s="15">
        <f>AVERAGE(M14:O14)</f>
        <v>43.009666666666668</v>
      </c>
      <c r="Q14" s="15">
        <f>(($L$2-P14)/$L$2)*100</f>
        <v>13.980666666666664</v>
      </c>
      <c r="R14" s="25" t="s">
        <v>52</v>
      </c>
      <c r="S14" s="25"/>
    </row>
    <row r="15" spans="1:19" x14ac:dyDescent="0.25">
      <c r="H15" s="24"/>
      <c r="I15" s="24"/>
      <c r="K15" s="15"/>
      <c r="L15" s="15"/>
      <c r="M15" s="15"/>
      <c r="N15" s="15"/>
      <c r="O15" s="15"/>
      <c r="P15" s="15"/>
      <c r="Q15" s="15"/>
      <c r="R15" s="25"/>
      <c r="S15" s="25"/>
    </row>
    <row r="16" spans="1:19" x14ac:dyDescent="0.25">
      <c r="A16" t="s">
        <v>53</v>
      </c>
      <c r="C16">
        <v>5.5E-2</v>
      </c>
      <c r="D16">
        <v>4.9000000000000002E-2</v>
      </c>
      <c r="E16">
        <v>5.6000000000000001E-2</v>
      </c>
      <c r="F16">
        <f t="shared" ref="F16:F23" si="2">AVERAGE(C16:E16)</f>
        <v>5.3333333333333337E-2</v>
      </c>
      <c r="G16">
        <f>(($C$2-F16)/$C$2)*100</f>
        <v>99.466666666666669</v>
      </c>
      <c r="H16" s="24"/>
      <c r="I16" s="24"/>
    </row>
    <row r="17" spans="1:22" ht="15.75" thickBot="1" x14ac:dyDescent="0.3">
      <c r="H17" s="24"/>
      <c r="I17" s="24"/>
      <c r="K17" t="s">
        <v>54</v>
      </c>
      <c r="M17">
        <v>10.459</v>
      </c>
      <c r="N17">
        <v>10.27</v>
      </c>
      <c r="O17">
        <v>10.391999999999999</v>
      </c>
      <c r="P17">
        <f t="shared" ref="P17:P18" si="3">AVERAGE(M17:O17)</f>
        <v>10.373666666666667</v>
      </c>
      <c r="Q17" s="19">
        <f>(($L$3-P17)/$L$3)*100</f>
        <v>58.505333333333333</v>
      </c>
      <c r="R17" s="26" t="s">
        <v>55</v>
      </c>
      <c r="S17" s="26"/>
      <c r="T17" s="26"/>
      <c r="U17" s="26"/>
      <c r="V17" s="26"/>
    </row>
    <row r="18" spans="1:22" x14ac:dyDescent="0.25">
      <c r="A18" s="27" t="s">
        <v>56</v>
      </c>
      <c r="B18" s="28"/>
      <c r="C18" s="28">
        <v>0.13400000000000001</v>
      </c>
      <c r="D18" s="28">
        <v>0.121</v>
      </c>
      <c r="E18" s="28">
        <v>0.121</v>
      </c>
      <c r="F18" s="28">
        <f t="shared" si="2"/>
        <v>0.12533333333333332</v>
      </c>
      <c r="G18" s="29">
        <f>(($C$3-F18)/$C$3)*100</f>
        <v>99.74933333333334</v>
      </c>
      <c r="H18" s="24"/>
      <c r="I18" s="24"/>
      <c r="K18" t="s">
        <v>57</v>
      </c>
      <c r="M18">
        <v>10.31</v>
      </c>
      <c r="N18">
        <v>10.743</v>
      </c>
      <c r="O18">
        <v>10.090999999999999</v>
      </c>
      <c r="P18">
        <f t="shared" si="3"/>
        <v>10.381333333333332</v>
      </c>
      <c r="Q18" s="19">
        <f>(($L$3-P18)/$L$3)*100</f>
        <v>58.474666666666678</v>
      </c>
      <c r="R18" s="26"/>
      <c r="S18" s="26"/>
      <c r="T18" s="26"/>
      <c r="U18" s="26"/>
      <c r="V18" s="26"/>
    </row>
    <row r="19" spans="1:22" x14ac:dyDescent="0.25">
      <c r="A19" s="30"/>
      <c r="B19" s="31"/>
      <c r="C19" s="31">
        <v>0.115</v>
      </c>
      <c r="D19" s="31">
        <v>0.11899999999999999</v>
      </c>
      <c r="E19" s="31">
        <v>0.109</v>
      </c>
      <c r="F19" s="31">
        <f t="shared" si="2"/>
        <v>0.11433333333333333</v>
      </c>
      <c r="G19" s="32">
        <f>(($C$3-F19)/$C$3)*100</f>
        <v>99.771333333333331</v>
      </c>
      <c r="H19" s="24"/>
      <c r="I19" s="24"/>
      <c r="R19" s="26"/>
      <c r="S19" s="26"/>
      <c r="T19" s="26"/>
      <c r="U19" s="26"/>
      <c r="V19" s="26"/>
    </row>
    <row r="20" spans="1:22" x14ac:dyDescent="0.25">
      <c r="A20" s="30"/>
      <c r="B20" s="31"/>
      <c r="C20" s="31">
        <v>0.126</v>
      </c>
      <c r="D20" s="31">
        <v>0.11600000000000001</v>
      </c>
      <c r="E20" s="31">
        <v>0.11700000000000001</v>
      </c>
      <c r="F20" s="31">
        <f t="shared" si="2"/>
        <v>0.11966666666666666</v>
      </c>
      <c r="G20" s="32">
        <f>(($C$3-F20)/$C$3)*100</f>
        <v>99.760666666666665</v>
      </c>
      <c r="H20" s="24"/>
      <c r="I20" s="24"/>
      <c r="R20" s="26"/>
      <c r="S20" s="26"/>
      <c r="T20" s="26"/>
      <c r="U20" s="26"/>
      <c r="V20" s="26"/>
    </row>
    <row r="21" spans="1:22" ht="15.75" thickBot="1" x14ac:dyDescent="0.3">
      <c r="A21" s="33"/>
      <c r="B21" s="34"/>
      <c r="C21" s="34">
        <v>0.11600000000000001</v>
      </c>
      <c r="D21" s="34">
        <v>0.11</v>
      </c>
      <c r="E21" s="34">
        <v>0.114</v>
      </c>
      <c r="F21" s="31">
        <f t="shared" si="2"/>
        <v>0.11333333333333334</v>
      </c>
      <c r="G21" s="32">
        <f>(($C$3-F21)/$C$3)*100</f>
        <v>99.773333333333326</v>
      </c>
      <c r="H21" s="24"/>
      <c r="I21" s="24"/>
      <c r="R21" s="26"/>
      <c r="S21" s="26"/>
      <c r="T21" s="26"/>
      <c r="U21" s="26"/>
      <c r="V21" s="26"/>
    </row>
    <row r="23" spans="1:22" ht="15" customHeight="1" x14ac:dyDescent="0.25">
      <c r="A23" t="s">
        <v>58</v>
      </c>
      <c r="C23">
        <v>1E-3</v>
      </c>
      <c r="D23">
        <v>1E-3</v>
      </c>
      <c r="E23">
        <v>0</v>
      </c>
      <c r="F23">
        <f t="shared" si="2"/>
        <v>6.6666666666666664E-4</v>
      </c>
      <c r="G23" s="19">
        <f>(($C$4-F23)/$C$4)*100</f>
        <v>99.99733333333333</v>
      </c>
      <c r="H23" s="35" t="s">
        <v>55</v>
      </c>
      <c r="I23" s="35"/>
      <c r="J23" s="35"/>
      <c r="K23" s="35"/>
    </row>
    <row r="24" spans="1:22" x14ac:dyDescent="0.25">
      <c r="H24" s="35"/>
      <c r="I24" s="35"/>
      <c r="J24" s="35"/>
      <c r="K24" s="35"/>
    </row>
    <row r="25" spans="1:22" x14ac:dyDescent="0.25">
      <c r="H25" s="35"/>
      <c r="I25" s="35"/>
      <c r="J25" s="35"/>
      <c r="K25" s="35"/>
    </row>
    <row r="26" spans="1:22" x14ac:dyDescent="0.25">
      <c r="H26" s="35"/>
      <c r="I26" s="35"/>
      <c r="J26" s="35"/>
      <c r="K26" s="35"/>
    </row>
    <row r="27" spans="1:22" x14ac:dyDescent="0.25">
      <c r="B27" t="s">
        <v>59</v>
      </c>
      <c r="D27" t="s">
        <v>60</v>
      </c>
      <c r="H27" s="35"/>
      <c r="I27" s="35"/>
      <c r="J27" s="35"/>
      <c r="K27" s="35"/>
    </row>
    <row r="28" spans="1:22" x14ac:dyDescent="0.25">
      <c r="B28" t="s">
        <v>61</v>
      </c>
      <c r="C28">
        <f>STDEV(C18:E18)</f>
        <v>7.5055534994651419E-3</v>
      </c>
      <c r="D28">
        <f>STDEV(M14:O14)</f>
        <v>0.14914869537925313</v>
      </c>
      <c r="H28" s="35"/>
      <c r="I28" s="35"/>
      <c r="J28" s="35"/>
      <c r="K28" s="35"/>
    </row>
    <row r="29" spans="1:22" x14ac:dyDescent="0.25">
      <c r="B29" t="s">
        <v>62</v>
      </c>
      <c r="C29">
        <f>C28/SQRT(3)</f>
        <v>4.3333333333333375E-3</v>
      </c>
      <c r="D29">
        <f>D28/SQRT(3)</f>
        <v>8.6111039426493285E-2</v>
      </c>
      <c r="H29" s="35"/>
      <c r="I29" s="35"/>
      <c r="J29" s="35"/>
      <c r="K29" s="35"/>
    </row>
  </sheetData>
  <mergeCells count="8">
    <mergeCell ref="H23:K29"/>
    <mergeCell ref="B7:F7"/>
    <mergeCell ref="K7:O7"/>
    <mergeCell ref="H10:I10"/>
    <mergeCell ref="H12:I12"/>
    <mergeCell ref="H14:I21"/>
    <mergeCell ref="R14:S15"/>
    <mergeCell ref="R17:V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5434-DE2A-485B-83E5-BFC1EA5E40CD}">
  <dimension ref="A1:W31"/>
  <sheetViews>
    <sheetView tabSelected="1" workbookViewId="0">
      <selection activeCell="I32" sqref="I32"/>
    </sheetView>
  </sheetViews>
  <sheetFormatPr defaultRowHeight="15" x14ac:dyDescent="0.25"/>
  <sheetData>
    <row r="1" spans="1:23" ht="15.75" thickBot="1" x14ac:dyDescent="0.3">
      <c r="A1" t="s">
        <v>43</v>
      </c>
      <c r="B1">
        <v>25</v>
      </c>
      <c r="C1" s="36" t="s">
        <v>63</v>
      </c>
      <c r="D1" s="36"/>
      <c r="E1" s="36"/>
    </row>
    <row r="2" spans="1:23" ht="15.75" thickBot="1" x14ac:dyDescent="0.3">
      <c r="D2" s="37" t="s">
        <v>64</v>
      </c>
      <c r="E2" s="38"/>
      <c r="F2" s="38"/>
      <c r="G2" s="38"/>
      <c r="H2" s="39"/>
      <c r="O2" s="37" t="s">
        <v>65</v>
      </c>
      <c r="P2" s="38"/>
      <c r="Q2" s="38"/>
      <c r="R2" s="38"/>
      <c r="S2" s="39"/>
    </row>
    <row r="3" spans="1:23" x14ac:dyDescent="0.25">
      <c r="H3" s="26" t="s">
        <v>69</v>
      </c>
      <c r="I3" s="26"/>
      <c r="J3" s="26"/>
    </row>
    <row r="4" spans="1:23" ht="22.5" customHeight="1" x14ac:dyDescent="0.25">
      <c r="B4">
        <v>1</v>
      </c>
      <c r="C4">
        <v>2.5000000000000001E-2</v>
      </c>
      <c r="D4">
        <v>1.7000000000000001E-2</v>
      </c>
      <c r="E4">
        <v>1.7999999999999999E-2</v>
      </c>
      <c r="F4">
        <f>AVERAGE(C4:E4)</f>
        <v>0.02</v>
      </c>
      <c r="G4" s="41">
        <f>(($B$1-F4)/$B$1)*100</f>
        <v>99.92</v>
      </c>
      <c r="H4" s="26"/>
      <c r="I4" s="26"/>
      <c r="J4" s="26"/>
      <c r="K4" s="2"/>
      <c r="L4" s="2"/>
      <c r="O4">
        <v>1</v>
      </c>
      <c r="P4">
        <v>2</v>
      </c>
      <c r="Q4">
        <v>3</v>
      </c>
      <c r="R4" t="s">
        <v>16</v>
      </c>
      <c r="S4" t="s">
        <v>17</v>
      </c>
    </row>
    <row r="5" spans="1:23" x14ac:dyDescent="0.25">
      <c r="B5">
        <v>2</v>
      </c>
      <c r="C5">
        <v>0.02</v>
      </c>
      <c r="D5">
        <v>1.4999999999999999E-2</v>
      </c>
      <c r="E5">
        <v>1.4E-2</v>
      </c>
      <c r="F5">
        <f>AVERAGE(C5:E5)</f>
        <v>1.6333333333333335E-2</v>
      </c>
      <c r="G5">
        <f>(($B$1-F5)/$B$1)*100</f>
        <v>99.934666666666672</v>
      </c>
      <c r="H5" s="26"/>
      <c r="I5" s="26"/>
      <c r="J5" s="26"/>
      <c r="K5" s="2"/>
      <c r="L5" s="2"/>
      <c r="N5">
        <v>1</v>
      </c>
      <c r="O5">
        <v>3.2879999999999998</v>
      </c>
      <c r="P5">
        <v>3.3239999999999998</v>
      </c>
      <c r="Q5">
        <v>3.2480000000000002</v>
      </c>
      <c r="R5">
        <f>AVERAGE(O5:Q5)</f>
        <v>3.2866666666666666</v>
      </c>
      <c r="S5" s="40">
        <f>($B$1-R5)/$B$1*100</f>
        <v>86.853333333333339</v>
      </c>
      <c r="T5" t="s">
        <v>66</v>
      </c>
    </row>
    <row r="6" spans="1:23" x14ac:dyDescent="0.25">
      <c r="G6" s="41"/>
      <c r="R6">
        <f>STDEV(O5:Q5)</f>
        <v>3.8017539811688483E-2</v>
      </c>
      <c r="S6">
        <f>R6/$B$1*100</f>
        <v>0.15207015924675393</v>
      </c>
    </row>
    <row r="7" spans="1:23" x14ac:dyDescent="0.25">
      <c r="B7">
        <v>3</v>
      </c>
      <c r="C7">
        <v>0.01</v>
      </c>
      <c r="D7">
        <v>3.0000000000000001E-3</v>
      </c>
      <c r="E7">
        <v>4.0000000000000001E-3</v>
      </c>
      <c r="F7">
        <f>AVERAGE(C7:E7)</f>
        <v>5.6666666666666671E-3</v>
      </c>
      <c r="G7" s="41">
        <f t="shared" ref="G7:G9" si="0">(($B$1-F7)/$B$1)*100</f>
        <v>99.977333333333334</v>
      </c>
      <c r="H7" t="s">
        <v>67</v>
      </c>
      <c r="N7">
        <v>2</v>
      </c>
      <c r="O7">
        <v>1.623</v>
      </c>
      <c r="P7">
        <v>1.6120000000000001</v>
      </c>
      <c r="Q7">
        <v>1.62</v>
      </c>
      <c r="R7">
        <f t="shared" ref="R7:R11" si="1">AVERAGE(O7:Q7)</f>
        <v>1.6183333333333334</v>
      </c>
      <c r="S7" s="40">
        <f t="shared" ref="S7:S11" si="2">($B$1-R7)/$B$1*100</f>
        <v>93.526666666666671</v>
      </c>
      <c r="T7" t="s">
        <v>67</v>
      </c>
    </row>
    <row r="8" spans="1:23" x14ac:dyDescent="0.25">
      <c r="B8">
        <v>4</v>
      </c>
      <c r="C8">
        <v>1.4999999999999999E-2</v>
      </c>
      <c r="D8">
        <v>1.7999999999999999E-2</v>
      </c>
      <c r="E8">
        <v>1.7999999999999999E-2</v>
      </c>
      <c r="F8">
        <f>AVERAGE(C8:E8)</f>
        <v>1.7000000000000001E-2</v>
      </c>
      <c r="G8" s="41">
        <f t="shared" si="0"/>
        <v>99.932000000000002</v>
      </c>
      <c r="H8" t="s">
        <v>66</v>
      </c>
      <c r="R8">
        <f>STDEV(O7:Q7)</f>
        <v>5.686240703077286E-3</v>
      </c>
      <c r="S8">
        <f>R8/$B$1*100</f>
        <v>2.2744962812309144E-2</v>
      </c>
    </row>
    <row r="9" spans="1:23" x14ac:dyDescent="0.25">
      <c r="B9">
        <v>5</v>
      </c>
      <c r="C9">
        <v>8.9999999999999993E-3</v>
      </c>
      <c r="D9">
        <v>2E-3</v>
      </c>
      <c r="E9">
        <v>0</v>
      </c>
      <c r="F9">
        <f>AVERAGE(C9:E9)</f>
        <v>3.6666666666666666E-3</v>
      </c>
      <c r="G9" s="41">
        <f t="shared" si="0"/>
        <v>99.98533333333333</v>
      </c>
      <c r="H9" s="26" t="s">
        <v>70</v>
      </c>
      <c r="I9" s="26"/>
      <c r="J9" s="26"/>
      <c r="K9" s="26"/>
      <c r="N9">
        <v>3</v>
      </c>
      <c r="O9">
        <v>4.3860000000000001</v>
      </c>
      <c r="P9">
        <v>4.2430000000000003</v>
      </c>
      <c r="Q9">
        <v>4.26</v>
      </c>
      <c r="R9">
        <f t="shared" si="1"/>
        <v>4.296333333333334</v>
      </c>
      <c r="S9" s="40">
        <f t="shared" si="2"/>
        <v>82.814666666666668</v>
      </c>
      <c r="T9" t="s">
        <v>68</v>
      </c>
    </row>
    <row r="10" spans="1:23" ht="18.95" customHeight="1" x14ac:dyDescent="0.25">
      <c r="H10" s="26"/>
      <c r="I10" s="26"/>
      <c r="J10" s="26"/>
      <c r="K10" s="26"/>
      <c r="R10">
        <f>STDEV(O9:Q9)</f>
        <v>7.8117432966869391E-2</v>
      </c>
      <c r="S10">
        <f>R10/$B$1*100</f>
        <v>0.31246973186747756</v>
      </c>
    </row>
    <row r="11" spans="1:23" x14ac:dyDescent="0.25">
      <c r="H11" s="26"/>
      <c r="I11" s="26"/>
      <c r="J11" s="26"/>
      <c r="K11" s="26"/>
      <c r="N11">
        <v>4</v>
      </c>
      <c r="O11">
        <v>1.1459999999999999</v>
      </c>
      <c r="P11">
        <v>1.165</v>
      </c>
      <c r="Q11">
        <v>1.157</v>
      </c>
      <c r="R11">
        <f t="shared" si="1"/>
        <v>1.1559999999999999</v>
      </c>
      <c r="S11" s="40">
        <f t="shared" si="2"/>
        <v>95.376000000000005</v>
      </c>
      <c r="T11" s="26" t="s">
        <v>70</v>
      </c>
      <c r="U11" s="26"/>
      <c r="V11" s="26"/>
      <c r="W11" s="26"/>
    </row>
    <row r="12" spans="1:23" x14ac:dyDescent="0.25">
      <c r="R12">
        <f>STDEV(O11:Q11)</f>
        <v>9.5393920141695239E-3</v>
      </c>
      <c r="S12">
        <f>R12/$B$1*100</f>
        <v>3.8157568056678096E-2</v>
      </c>
      <c r="T12" s="26"/>
      <c r="U12" s="26"/>
      <c r="V12" s="26"/>
      <c r="W12" s="26"/>
    </row>
    <row r="13" spans="1:23" x14ac:dyDescent="0.25">
      <c r="T13" s="26"/>
      <c r="U13" s="26"/>
      <c r="V13" s="26"/>
      <c r="W13" s="26"/>
    </row>
    <row r="28" spans="7:7" x14ac:dyDescent="0.25">
      <c r="G28" s="42"/>
    </row>
    <row r="29" spans="7:7" x14ac:dyDescent="0.25">
      <c r="G29" s="42"/>
    </row>
    <row r="30" spans="7:7" x14ac:dyDescent="0.25">
      <c r="G30" s="42"/>
    </row>
    <row r="31" spans="7:7" x14ac:dyDescent="0.25">
      <c r="G31" s="42"/>
    </row>
  </sheetData>
  <mergeCells count="6">
    <mergeCell ref="H9:K11"/>
    <mergeCell ref="H3:J5"/>
    <mergeCell ref="C1:E1"/>
    <mergeCell ref="D2:H2"/>
    <mergeCell ref="O2:S2"/>
    <mergeCell ref="T11:W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99FE5370-160F-4310-A082-C9025078BCEE}"/>
</file>

<file path=customXml/itemProps2.xml><?xml version="1.0" encoding="utf-8"?>
<ds:datastoreItem xmlns:ds="http://schemas.openxmlformats.org/officeDocument/2006/customXml" ds:itemID="{1DE348DE-5630-4101-BA68-3FFAFC515A67}"/>
</file>

<file path=customXml/itemProps3.xml><?xml version="1.0" encoding="utf-8"?>
<ds:datastoreItem xmlns:ds="http://schemas.openxmlformats.org/officeDocument/2006/customXml" ds:itemID="{F29558D7-0DC3-4518-91B5-45CD36A89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 kinetic</vt:lpstr>
      <vt:lpstr>Sheet1</vt:lpstr>
      <vt:lpstr>BaSO4 removal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Oguzhan Kivan</dc:creator>
  <cp:lastModifiedBy>Oguzhan Kivan</cp:lastModifiedBy>
  <dcterms:created xsi:type="dcterms:W3CDTF">2015-06-05T18:17:20Z</dcterms:created>
  <dcterms:modified xsi:type="dcterms:W3CDTF">2023-12-21T10:41:01Z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