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eear\Documents\Thesis_Data_Repository\"/>
    </mc:Choice>
  </mc:AlternateContent>
  <bookViews>
    <workbookView xWindow="0" yWindow="0" windowWidth="28800" windowHeight="12300" tabRatio="500" activeTab="2"/>
  </bookViews>
  <sheets>
    <sheet name="README" sheetId="1" r:id="rId1"/>
    <sheet name="1_material_requirements" sheetId="2" r:id="rId2"/>
    <sheet name="2_energy_intensities" sheetId="3" r:id="rId3"/>
    <sheet name="3_probability_function" sheetId="4" r:id="rId4"/>
  </sheets>
  <calcPr calcId="162913"/>
  <extLst>
    <ext xmlns:loext="http://schemas.libreoffice.org/" uri="{7626C862-2A13-11E5-B345-FEFF819CDC9F}">
      <loext:extCalcPr stringRefSyntax="CalcA1ExcelA1"/>
    </ext>
  </extLst>
</workbook>
</file>

<file path=xl/calcChain.xml><?xml version="1.0" encoding="utf-8"?>
<calcChain xmlns="http://schemas.openxmlformats.org/spreadsheetml/2006/main">
  <c r="C22" i="4" l="1"/>
  <c r="C20" i="4"/>
  <c r="C17" i="4"/>
  <c r="C15" i="4"/>
  <c r="C11" i="4"/>
  <c r="C10" i="4"/>
  <c r="C8" i="4"/>
  <c r="C3" i="4"/>
  <c r="E23" i="3"/>
  <c r="C23" i="4" s="1"/>
  <c r="C23" i="3"/>
  <c r="F23" i="3" s="1"/>
  <c r="E22" i="3"/>
  <c r="C22" i="3"/>
  <c r="F22" i="3" s="1"/>
  <c r="E21" i="3"/>
  <c r="C21" i="4" s="1"/>
  <c r="C21" i="3"/>
  <c r="F21" i="3" s="1"/>
  <c r="F20" i="3"/>
  <c r="E20" i="3"/>
  <c r="D20" i="3"/>
  <c r="G20" i="3" s="1"/>
  <c r="C20" i="3"/>
  <c r="B19" i="3"/>
  <c r="E19" i="3" s="1"/>
  <c r="C19" i="4" s="1"/>
  <c r="F18" i="3"/>
  <c r="E18" i="3"/>
  <c r="C18" i="4" s="1"/>
  <c r="C18" i="3"/>
  <c r="D18" i="3" s="1"/>
  <c r="G18" i="3" s="1"/>
  <c r="E17" i="3"/>
  <c r="C17" i="3"/>
  <c r="F17" i="3" s="1"/>
  <c r="G16" i="3"/>
  <c r="C16" i="3"/>
  <c r="F16" i="3" s="1"/>
  <c r="B16" i="3"/>
  <c r="E16" i="3" s="1"/>
  <c r="C16" i="4" s="1"/>
  <c r="G15" i="3"/>
  <c r="F15" i="3"/>
  <c r="E15" i="3"/>
  <c r="D15" i="3"/>
  <c r="G14" i="3"/>
  <c r="E14" i="3"/>
  <c r="C14" i="4" s="1"/>
  <c r="C14" i="3"/>
  <c r="F14" i="3" s="1"/>
  <c r="G13" i="3"/>
  <c r="F13" i="3"/>
  <c r="E13" i="3"/>
  <c r="C13" i="4" s="1"/>
  <c r="D13" i="3"/>
  <c r="C13" i="3"/>
  <c r="F12" i="3"/>
  <c r="E12" i="3"/>
  <c r="C12" i="4" s="1"/>
  <c r="D12" i="3"/>
  <c r="G12" i="3" s="1"/>
  <c r="C12" i="3"/>
  <c r="G11" i="3"/>
  <c r="F11" i="3"/>
  <c r="E11" i="3"/>
  <c r="D11" i="3"/>
  <c r="C11" i="3"/>
  <c r="G10" i="3"/>
  <c r="E10" i="3"/>
  <c r="C10" i="3"/>
  <c r="F10" i="3" s="1"/>
  <c r="E9" i="3"/>
  <c r="C9" i="4" s="1"/>
  <c r="D9" i="3"/>
  <c r="G9" i="3" s="1"/>
  <c r="C9" i="3"/>
  <c r="F9" i="3" s="1"/>
  <c r="E8" i="3"/>
  <c r="C8" i="3"/>
  <c r="F8" i="3" s="1"/>
  <c r="E7" i="3"/>
  <c r="C7" i="4" s="1"/>
  <c r="C7" i="3"/>
  <c r="D7" i="3" s="1"/>
  <c r="G7" i="3" s="1"/>
  <c r="G6" i="3"/>
  <c r="E6" i="3"/>
  <c r="C6" i="4" s="1"/>
  <c r="C6" i="3"/>
  <c r="F6" i="3" s="1"/>
  <c r="B5" i="3"/>
  <c r="E5" i="3" s="1"/>
  <c r="C5" i="4" s="1"/>
  <c r="F4" i="3"/>
  <c r="E4" i="3"/>
  <c r="C4" i="4" s="1"/>
  <c r="C4" i="3"/>
  <c r="D4" i="3" s="1"/>
  <c r="G4" i="3" s="1"/>
  <c r="E3" i="3"/>
  <c r="C3" i="3"/>
  <c r="D3" i="3" s="1"/>
  <c r="G3" i="3" s="1"/>
  <c r="G2" i="3"/>
  <c r="F2" i="3"/>
  <c r="E2" i="3"/>
  <c r="C2" i="4" s="1"/>
  <c r="C2" i="3"/>
  <c r="D15" i="2"/>
  <c r="D22" i="3" l="1"/>
  <c r="G22" i="3" s="1"/>
  <c r="F3" i="3"/>
  <c r="D23" i="3"/>
  <c r="G23" i="3" s="1"/>
  <c r="D17" i="3"/>
  <c r="G17" i="3" s="1"/>
  <c r="F7" i="3"/>
  <c r="C5" i="3"/>
  <c r="F5" i="3" s="1"/>
  <c r="C19" i="3"/>
  <c r="D8" i="3"/>
  <c r="G8" i="3" s="1"/>
  <c r="D21" i="3"/>
  <c r="G21" i="3" s="1"/>
  <c r="F19" i="3" l="1"/>
  <c r="D19" i="3"/>
  <c r="G19" i="3" s="1"/>
  <c r="D5" i="3"/>
  <c r="G5" i="3" s="1"/>
</calcChain>
</file>

<file path=xl/comments1.xml><?xml version="1.0" encoding="utf-8"?>
<comments xmlns="http://schemas.openxmlformats.org/spreadsheetml/2006/main">
  <authors>
    <author/>
  </authors>
  <commentList>
    <comment ref="B4" authorId="0" shapeId="0">
      <text>
        <r>
          <rPr>
            <sz val="10"/>
            <rFont val="Arial"/>
            <family val="2"/>
          </rPr>
          <t>The value is set to zero because we don’t apply increasing energy intensities of mining for sand and gravel</t>
        </r>
      </text>
    </comment>
  </commentList>
</comments>
</file>

<file path=xl/sharedStrings.xml><?xml version="1.0" encoding="utf-8"?>
<sst xmlns="http://schemas.openxmlformats.org/spreadsheetml/2006/main" count="212" uniqueCount="102">
  <si>
    <t>Tab</t>
  </si>
  <si>
    <t>Content</t>
  </si>
  <si>
    <t>1_material_intensities</t>
  </si>
  <si>
    <t>The tab gives the material intensities used in the study alongside the reference used and comments when additional calculations or assumptions were needed.</t>
  </si>
  <si>
    <t>2_energy_intensities</t>
  </si>
  <si>
    <t>The tab gives the energy intensities for the mining, metallurgical and recycling processes used in the study, alongside the reference used and comments when additional calculations or assumptions were needed.</t>
  </si>
  <si>
    <t>3_probability_function</t>
  </si>
  <si>
    <t>The tab gives information regarding the probability density function used for each mineral for the Monte Carlo simulation.</t>
  </si>
  <si>
    <t>Mineral</t>
  </si>
  <si>
    <t>Unit</t>
  </si>
  <si>
    <t>Solar PV</t>
  </si>
  <si>
    <t>Solar CSP</t>
  </si>
  <si>
    <t>Wind onshore</t>
  </si>
  <si>
    <t>Wind offshore</t>
  </si>
  <si>
    <t>Source</t>
  </si>
  <si>
    <t>Comment</t>
  </si>
  <si>
    <t>Aluminium</t>
  </si>
  <si>
    <t>kg/MW</t>
  </si>
  <si>
    <t>[1]</t>
  </si>
  <si>
    <t>Cadmium</t>
  </si>
  <si>
    <t>Cement</t>
  </si>
  <si>
    <t>[1] for solar CSP, [2] for solar PV, wind onshore, and wind offshore</t>
  </si>
  <si>
    <t>When using [2], taking the mean of b and c, and then multiplying by a factor 0.3 to convert concrete values into cement</t>
  </si>
  <si>
    <t>Chromium</t>
  </si>
  <si>
    <t>Copper</t>
  </si>
  <si>
    <t>Gallium</t>
  </si>
  <si>
    <t>Indium</t>
  </si>
  <si>
    <t>Iron ore</t>
  </si>
  <si>
    <t>Lead</t>
  </si>
  <si>
    <t>Magnesium</t>
  </si>
  <si>
    <t>Manganese</t>
  </si>
  <si>
    <t>Molybdenum</t>
  </si>
  <si>
    <t>Nickel</t>
  </si>
  <si>
    <t>Silicium</t>
  </si>
  <si>
    <t>Silver</t>
  </si>
  <si>
    <t>Tellurium</t>
  </si>
  <si>
    <t>Tin</t>
  </si>
  <si>
    <t>Titanium</t>
  </si>
  <si>
    <t>Vanadium</t>
  </si>
  <si>
    <t>Zinc</t>
  </si>
  <si>
    <t>Neodymium</t>
  </si>
  <si>
    <t>Dysprosium</t>
  </si>
  <si>
    <r>
      <rPr>
        <b/>
        <u/>
        <sz val="10"/>
        <rFont val="Arial"/>
        <family val="2"/>
      </rPr>
      <t>Note</t>
    </r>
    <r>
      <rPr>
        <sz val="10"/>
        <rFont val="Arial"/>
        <family val="2"/>
      </rPr>
      <t>: blank cells stand for zeros.</t>
    </r>
  </si>
  <si>
    <t>References</t>
  </si>
  <si>
    <t>Carlos de Castro and Iñigo Capellán-Pérez. Standard, Point of Use, and Extended Energy Return on Energy Invested (EROI) from Comprehensive Material Requirements of 
Present Global Wind, Solar, and Hydro Power Technologies. Energies, 13(12):3036, June 2020. ISSN 1996-1073. doi:10.3390/en13123036.</t>
  </si>
  <si>
    <t>[2]</t>
  </si>
  <si>
    <r>
      <rPr>
        <b/>
        <sz val="12"/>
        <rFont val="Arial"/>
        <family val="2"/>
      </rPr>
      <t>F</t>
    </r>
    <r>
      <rPr>
        <b/>
        <vertAlign val="subscript"/>
        <sz val="12"/>
        <rFont val="Arial"/>
        <family val="2"/>
      </rPr>
      <t>m</t>
    </r>
    <r>
      <rPr>
        <b/>
        <sz val="12"/>
        <rFont val="Arial"/>
        <family val="2"/>
      </rPr>
      <t xml:space="preserve"> 
</t>
    </r>
    <r>
      <rPr>
        <b/>
        <sz val="10"/>
        <rFont val="Arial"/>
        <family val="2"/>
      </rPr>
      <t>(MJ/kg)</t>
    </r>
  </si>
  <si>
    <r>
      <rPr>
        <b/>
        <sz val="12"/>
        <rFont val="Arial"/>
      </rPr>
      <t>Φ</t>
    </r>
    <r>
      <rPr>
        <b/>
        <vertAlign val="subscript"/>
        <sz val="12"/>
        <rFont val="Arial"/>
      </rPr>
      <t xml:space="preserve">m
</t>
    </r>
    <r>
      <rPr>
        <b/>
        <sz val="10"/>
        <rFont val="Arial"/>
      </rPr>
      <t>(MJ/kg)</t>
    </r>
  </si>
  <si>
    <r>
      <rPr>
        <b/>
        <sz val="12"/>
        <rFont val="Arial"/>
        <family val="2"/>
      </rPr>
      <t>S</t>
    </r>
    <r>
      <rPr>
        <b/>
        <vertAlign val="subscript"/>
        <sz val="12"/>
        <rFont val="Arial"/>
        <family val="2"/>
      </rPr>
      <t xml:space="preserve">m
</t>
    </r>
    <r>
      <rPr>
        <b/>
        <sz val="10"/>
        <rFont val="Arial"/>
        <family val="2"/>
      </rPr>
      <t>(MJ/kg)</t>
    </r>
  </si>
  <si>
    <r>
      <rPr>
        <b/>
        <sz val="12"/>
        <rFont val="Arial"/>
        <family val="2"/>
      </rPr>
      <t>f</t>
    </r>
    <r>
      <rPr>
        <b/>
        <vertAlign val="subscript"/>
        <sz val="12"/>
        <rFont val="Arial"/>
        <family val="2"/>
      </rPr>
      <t xml:space="preserve">m
</t>
    </r>
    <r>
      <rPr>
        <b/>
        <sz val="10"/>
        <rFont val="Arial"/>
        <family val="2"/>
      </rPr>
      <t>(MJ/kg)</t>
    </r>
  </si>
  <si>
    <r>
      <rPr>
        <b/>
        <sz val="12"/>
        <rFont val="Arial"/>
      </rPr>
      <t>φ</t>
    </r>
    <r>
      <rPr>
        <b/>
        <vertAlign val="subscript"/>
        <sz val="12"/>
        <rFont val="Arial"/>
      </rPr>
      <t xml:space="preserve">m
</t>
    </r>
    <r>
      <rPr>
        <b/>
        <sz val="10"/>
        <rFont val="Arial"/>
      </rPr>
      <t>(MJ/kg)</t>
    </r>
  </si>
  <si>
    <r>
      <rPr>
        <b/>
        <sz val="12"/>
        <rFont val="Arial"/>
        <family val="2"/>
      </rPr>
      <t>s</t>
    </r>
    <r>
      <rPr>
        <b/>
        <vertAlign val="subscript"/>
        <sz val="12"/>
        <rFont val="Arial"/>
        <family val="2"/>
      </rPr>
      <t xml:space="preserve">m
</t>
    </r>
    <r>
      <rPr>
        <b/>
        <sz val="10"/>
        <rFont val="Arial"/>
        <family val="2"/>
      </rPr>
      <t>(MJ/kg)</t>
    </r>
  </si>
  <si>
    <r>
      <rPr>
        <b/>
        <sz val="12"/>
        <rFont val="Arial"/>
        <family val="2"/>
      </rPr>
      <t>References and comments for F</t>
    </r>
    <r>
      <rPr>
        <b/>
        <vertAlign val="subscript"/>
        <sz val="12"/>
        <rFont val="Arial"/>
        <family val="2"/>
      </rPr>
      <t>m</t>
    </r>
    <r>
      <rPr>
        <b/>
        <sz val="12"/>
        <rFont val="Arial"/>
        <family val="2"/>
      </rPr>
      <t xml:space="preserve"> and Φ</t>
    </r>
    <r>
      <rPr>
        <b/>
        <vertAlign val="subscript"/>
        <sz val="12"/>
        <rFont val="Arial"/>
        <family val="2"/>
      </rPr>
      <t>m</t>
    </r>
  </si>
  <si>
    <r>
      <rPr>
        <b/>
        <sz val="12"/>
        <rFont val="Arial"/>
        <family val="2"/>
      </rPr>
      <t>References and comments on S</t>
    </r>
    <r>
      <rPr>
        <b/>
        <vertAlign val="subscript"/>
        <sz val="12"/>
        <rFont val="Arial"/>
        <family val="2"/>
      </rPr>
      <t>m</t>
    </r>
  </si>
  <si>
    <t>Values from [3]. 18% of energy consumption ascribed to mining processes (Figure 4)</t>
  </si>
  <si>
    <t>Value from [3].</t>
  </si>
  <si>
    <t>Values from [3], we assume 30% of energy consumption due to mining processes.</t>
  </si>
  <si>
    <r>
      <rPr>
        <sz val="10"/>
        <rFont val="Arial"/>
        <family val="2"/>
      </rPr>
      <t>Own assumption of 25% of F</t>
    </r>
    <r>
      <rPr>
        <vertAlign val="subscript"/>
        <sz val="10"/>
        <rFont val="Arial"/>
        <family val="2"/>
      </rPr>
      <t>m</t>
    </r>
    <r>
      <rPr>
        <sz val="10"/>
        <rFont val="Arial"/>
        <family val="2"/>
      </rPr>
      <t>+Φ</t>
    </r>
    <r>
      <rPr>
        <vertAlign val="subscript"/>
        <sz val="10"/>
        <rFont val="Arial"/>
        <family val="2"/>
      </rPr>
      <t>m</t>
    </r>
    <r>
      <rPr>
        <sz val="10"/>
        <rFont val="Arial"/>
        <family val="2"/>
      </rPr>
      <t>.</t>
    </r>
  </si>
  <si>
    <r>
      <rPr>
        <sz val="10"/>
        <rFont val="Arial"/>
        <family val="2"/>
      </rPr>
      <t xml:space="preserve">We use 3.4 GJ/tonne for clinker, and an average clinker to cement ratio of 0.7, from [6]. Values are in final energy terms, so we divide by 0.542 (see notes below) to obtain approximative primary energy requirements. Hence the value is 3.4 / </t>
    </r>
    <r>
      <rPr>
        <i/>
        <sz val="10"/>
        <rFont val="Arial"/>
        <family val="2"/>
      </rPr>
      <t>(</t>
    </r>
    <r>
      <rPr>
        <sz val="10"/>
        <rFont val="Arial"/>
        <family val="2"/>
      </rPr>
      <t>0.7*0.542)</t>
    </r>
    <r>
      <rPr>
        <i/>
        <sz val="10"/>
        <rFont val="Arial"/>
        <family val="2"/>
      </rPr>
      <t xml:space="preserve"> = </t>
    </r>
    <r>
      <rPr>
        <sz val="10"/>
        <rFont val="Arial"/>
        <family val="2"/>
      </rPr>
      <t>6.9GJ/tonne.</t>
    </r>
  </si>
  <si>
    <r>
      <rPr>
        <sz val="10"/>
        <rFont val="Arial"/>
        <family val="2"/>
      </rPr>
      <t>We use the same value as Φ</t>
    </r>
    <r>
      <rPr>
        <vertAlign val="subscript"/>
        <sz val="10"/>
        <rFont val="Arial"/>
        <family val="2"/>
      </rPr>
      <t>m</t>
    </r>
    <r>
      <rPr>
        <sz val="10"/>
        <rFont val="Arial"/>
        <family val="2"/>
      </rPr>
      <t xml:space="preserve"> so that the effects of recycling silicium are null because these are not modelled.</t>
    </r>
  </si>
  <si>
    <r>
      <rPr>
        <sz val="10"/>
        <rFont val="Arial"/>
        <family val="2"/>
      </rPr>
      <t>For mining (F</t>
    </r>
    <r>
      <rPr>
        <vertAlign val="subscript"/>
        <sz val="10"/>
        <rFont val="Arial"/>
        <family val="2"/>
      </rPr>
      <t>m</t>
    </r>
    <r>
      <rPr>
        <sz val="10"/>
        <rFont val="Arial"/>
        <family val="2"/>
      </rPr>
      <t>), we use the average of the values reported by [3] for FeCr and Cr metal.
For refining (Φ</t>
    </r>
    <r>
      <rPr>
        <vertAlign val="subscript"/>
        <sz val="10"/>
        <rFont val="Arial"/>
        <family val="2"/>
      </rPr>
      <t>m</t>
    </r>
    <r>
      <rPr>
        <sz val="10"/>
        <rFont val="Arial"/>
        <family val="2"/>
      </rPr>
      <t>), we use the average value provided by [3], and subtract F</t>
    </r>
    <r>
      <rPr>
        <vertAlign val="subscript"/>
        <sz val="10"/>
        <rFont val="Arial"/>
        <family val="2"/>
      </rPr>
      <t>m</t>
    </r>
    <r>
      <rPr>
        <sz val="10"/>
        <rFont val="Arial"/>
        <family val="2"/>
      </rPr>
      <t>.</t>
    </r>
  </si>
  <si>
    <t>Values from [3] for the dominant source of supply of copper (Cu [from Mo])</t>
  </si>
  <si>
    <t>Value from [3] using the mean of the two values provided.</t>
  </si>
  <si>
    <t>Values from [3], 13.82% of energy consumption ascribed to mining processes (Figure 4)</t>
  </si>
  <si>
    <r>
      <rPr>
        <sz val="10"/>
        <rFont val="Arial"/>
        <family val="2"/>
      </rPr>
      <t>Value for F</t>
    </r>
    <r>
      <rPr>
        <vertAlign val="subscript"/>
        <sz val="10"/>
        <rFont val="Arial"/>
        <family val="2"/>
      </rPr>
      <t>m</t>
    </r>
    <r>
      <rPr>
        <sz val="10"/>
        <rFont val="Arial"/>
        <family val="2"/>
      </rPr>
      <t xml:space="preserve"> taken from [8], value consistent with [7].
Total energy consumption (Fm + Φm) from [4], page 42. Value in final energy terms, so division by 0.542 (see notes below) to obtain a primary energy intensity, and then division by the iron to iron ore ratio (use 1.66 as ratio, i.e. an average concentration of 60% iron in iron ores).</t>
    </r>
  </si>
  <si>
    <t>Value from [4], page 42. Value in final energy terms, so we divide by 0.542 (see notes below) to convert in primary energy terms. Also divide by the iron to iron ore ratio (use 1.66).</t>
  </si>
  <si>
    <t>Value determined from [3], using 35% of energy consumption ascribed to mining for Pb issues from Pb-Zn ores (40% of Pb supply).</t>
  </si>
  <si>
    <t>Value from [3]</t>
  </si>
  <si>
    <t>Values from [3], ascribing 15% of energy consumption to mining processes.</t>
  </si>
  <si>
    <t>Values from [3] for managenese metal. 49% of energy consumption ascribed to mining processes (Figure 4)</t>
  </si>
  <si>
    <t>Values from [3] for molybdenum metal. 81.3% of energy consumption ascribed to mining processes.</t>
  </si>
  <si>
    <t>Values from [7] for nickel extracted with pyrometallurgical processes, see Figure 1 in [7]. We use values for the pyrometallurgical route for our study as at implies a higher value of Fm and hence is rather a pessimistic assumption that strenghtens our findings.</t>
  </si>
  <si>
    <t>Value from [5]</t>
  </si>
  <si>
    <t>Values determined from [3] considering the weighted shares of supply of Ag from Cu and Pb ores as marginal suppliers – we assume that the Ag from Au ores is a by-product of Au which is the main product of interest.
Ag from Cu ores: 17% of supply and 50% of energy consumption ascribed to mining processes. Ag from Pb ores: 28% of supply and 30% of energy consumption ascribed to mining processes.</t>
  </si>
  <si>
    <t>Values from [3]. 10% of energy consumption ascribed to mining processes (Figure 4)</t>
  </si>
  <si>
    <t>Value estimated from [3] calculating the average of the two TiO2 producing routes, with 14% of energy consumption ascribed to mining processes.</t>
  </si>
  <si>
    <t>Values from [3]. 16% of energy consumption ascribed to mining processes (Figure 4)</t>
  </si>
  <si>
    <t>Values from [3]. 12.7% of energy consumption ascribed to mining processes</t>
  </si>
  <si>
    <r>
      <rPr>
        <b/>
        <u/>
        <sz val="10"/>
        <rFont val="Arial"/>
        <family val="2"/>
      </rPr>
      <t>Notes</t>
    </r>
    <r>
      <rPr>
        <sz val="10"/>
        <rFont val="Arial"/>
        <family val="2"/>
      </rPr>
      <t>:</t>
    </r>
  </si>
  <si>
    <t>[3]</t>
  </si>
  <si>
    <t>[4]</t>
  </si>
  <si>
    <t>[5]</t>
  </si>
  <si>
    <t>Geoff Hammond and Jones Craig. Inventory of Carbon and Energy (ICE) version 2.0. Technical report, University of Bath, 2011.</t>
  </si>
  <si>
    <t>[6]</t>
  </si>
  <si>
    <t>[7]</t>
  </si>
  <si>
    <t>[8]</t>
  </si>
  <si>
    <t>[9]</t>
  </si>
  <si>
    <t>Emmanuel Aramendia, Paul Brockway, Peter Taylor, and Jonathan Norman. Global energy consumption of the mineral mining industry: Exploring the historical perspective and future pathways to 2060.</t>
  </si>
  <si>
    <t>[10]</t>
  </si>
  <si>
    <t>International Energy Agency. World energy balances 2019 edition - Database documentation. Technical report, International Energy Agency; 2019.</t>
  </si>
  <si>
    <t>[11]</t>
  </si>
  <si>
    <t>Emmanuel Aramendia, Paul Brockway, Peter Taylor, and Jonathan Norman. Supplemental Information to Global energy consumption of the mineral mining industry: exploring the historical perspective and future pathways to 2060</t>
  </si>
  <si>
    <t>Percentage standard deviation</t>
  </si>
  <si>
    <t>Standard_deviation</t>
  </si>
  <si>
    <r>
      <rPr>
        <sz val="10"/>
        <rFont val="Arial"/>
        <family val="2"/>
      </rPr>
      <t>For the sensitivity analysis (Monte Carlo simulation), we specify a normal probability distribution function for each historical (final) energy intensity f</t>
    </r>
    <r>
      <rPr>
        <vertAlign val="subscript"/>
        <sz val="10"/>
        <rFont val="Arial"/>
        <family val="2"/>
      </rPr>
      <t>m</t>
    </r>
    <r>
      <rPr>
        <sz val="10"/>
        <rFont val="Arial"/>
        <family val="2"/>
      </rPr>
      <t>, centred on the value reported in the tab “2_energy_intensities” for f</t>
    </r>
    <r>
      <rPr>
        <vertAlign val="subscript"/>
        <sz val="10"/>
        <rFont val="Arial"/>
        <family val="2"/>
      </rPr>
      <t>m</t>
    </r>
    <r>
      <rPr>
        <sz val="10"/>
        <rFont val="Arial"/>
        <family val="2"/>
      </rPr>
      <t>, and 15, 30, or 50% of the value of f</t>
    </r>
    <r>
      <rPr>
        <vertAlign val="subscript"/>
        <sz val="10"/>
        <rFont val="Arial"/>
        <family val="2"/>
      </rPr>
      <t>m</t>
    </r>
    <r>
      <rPr>
        <sz val="10"/>
        <rFont val="Arial"/>
        <family val="2"/>
      </rPr>
      <t xml:space="preserve">  as standard deviation (see values above). We use 15% for those minerals for which the uncertainty is limited (as different studies report similar values), 30% for those minerals for which the uncertainty is intermediate (different studies pointing to values of similar order of magnitudes but nonetheless significantly different), and 50% for those minerals for which the uncertainty is large (for instance due to only one study available).
For each run of the Monte Carlo simulation, the value of fm is sampled independently for which mineral, so it can be in the lower end for a given mineral and on the higher end for another one. In the few cases where the sampling gives a negative value for any mineral, we set the value back the average f</t>
    </r>
    <r>
      <rPr>
        <vertAlign val="subscript"/>
        <sz val="10"/>
        <rFont val="Arial"/>
        <family val="2"/>
      </rPr>
      <t>m</t>
    </r>
    <r>
      <rPr>
        <sz val="10"/>
        <rFont val="Arial"/>
        <family val="2"/>
      </rPr>
      <t xml:space="preserve"> value.</t>
    </r>
  </si>
  <si>
    <r>
      <t>1) F</t>
    </r>
    <r>
      <rPr>
        <vertAlign val="subscript"/>
        <sz val="10"/>
        <rFont val="Arial"/>
        <family val="2"/>
      </rPr>
      <t>m</t>
    </r>
    <r>
      <rPr>
        <sz val="10"/>
        <rFont val="Arial"/>
        <family val="2"/>
      </rPr>
      <t>, Φ</t>
    </r>
    <r>
      <rPr>
        <vertAlign val="subscript"/>
        <sz val="10"/>
        <rFont val="Arial"/>
        <family val="2"/>
      </rPr>
      <t>m, and S</t>
    </r>
    <r>
      <rPr>
        <sz val="10"/>
        <rFont val="Arial"/>
        <family val="2"/>
      </rPr>
      <t>m</t>
    </r>
    <r>
      <rPr>
        <vertAlign val="subscript"/>
        <sz val="10"/>
        <rFont val="Arial"/>
        <family val="2"/>
      </rPr>
      <t xml:space="preserve"> </t>
    </r>
    <r>
      <rPr>
        <sz val="10"/>
        <rFont val="Arial"/>
        <family val="2"/>
      </rPr>
      <t xml:space="preserve">refer to the primary energy intensities of respectively mining, refining (through metallurgical processes), and recycling mineral </t>
    </r>
    <r>
      <rPr>
        <i/>
        <sz val="10"/>
        <rFont val="Arial"/>
        <family val="2"/>
      </rPr>
      <t>m</t>
    </r>
    <r>
      <rPr>
        <sz val="10"/>
        <rFont val="Arial"/>
        <family val="2"/>
      </rPr>
      <t>.
- f</t>
    </r>
    <r>
      <rPr>
        <vertAlign val="subscript"/>
        <sz val="10"/>
        <rFont val="Arial"/>
        <family val="2"/>
      </rPr>
      <t>m</t>
    </r>
    <r>
      <rPr>
        <sz val="10"/>
        <rFont val="Arial"/>
        <family val="2"/>
      </rPr>
      <t xml:space="preserve"> is then calculated by multiplying Fm by 0.584, which is the final-to-primary energy ratio determined specifically by the mining industry [9]. 
- Φ</t>
    </r>
    <r>
      <rPr>
        <vertAlign val="subscript"/>
        <sz val="10"/>
        <rFont val="Arial"/>
        <family val="2"/>
      </rPr>
      <t>m</t>
    </r>
    <r>
      <rPr>
        <sz val="10"/>
        <rFont val="Arial"/>
        <family val="2"/>
      </rPr>
      <t xml:space="preserve"> and s</t>
    </r>
    <r>
      <rPr>
        <vertAlign val="subscript"/>
        <sz val="10"/>
        <rFont val="Arial"/>
        <family val="2"/>
      </rPr>
      <t>m</t>
    </r>
    <r>
      <rPr>
        <sz val="10"/>
        <rFont val="Arial"/>
        <family val="2"/>
      </rPr>
      <t xml:space="preserve"> are calculated by multiplying respectively Φ</t>
    </r>
    <r>
      <rPr>
        <vertAlign val="subscript"/>
        <sz val="10"/>
        <rFont val="Arial"/>
        <family val="2"/>
      </rPr>
      <t>m</t>
    </r>
    <r>
      <rPr>
        <sz val="10"/>
        <rFont val="Arial"/>
        <family val="2"/>
      </rPr>
      <t xml:space="preserve"> and S</t>
    </r>
    <r>
      <rPr>
        <vertAlign val="subscript"/>
        <sz val="10"/>
        <rFont val="Arial"/>
        <family val="2"/>
      </rPr>
      <t>m</t>
    </r>
    <r>
      <rPr>
        <sz val="10"/>
        <rFont val="Arial"/>
        <family val="2"/>
      </rPr>
      <t xml:space="preserve"> by 0.542, which is the final-to-primary energy ratio determined specifically for the metallurgical sector (using the “Iron and steel” and “Non-ferrous metals” final demand sectors
of the International Energy Agency World Energy Extended Balances [10]. We use the same methodology as described in [9] to determine the ratio – see particularly the Supplemental Information of the cited study [11].
- We need to first determine the primary energy intensities because most available studies determine the values in primary energy terms (Cumulative Energy Demand) through a Life Cycle Analysis methodology.
2) For most minerals, the values of F</t>
    </r>
    <r>
      <rPr>
        <vertAlign val="subscript"/>
        <sz val="10"/>
        <rFont val="Arial"/>
        <family val="2"/>
      </rPr>
      <t>m</t>
    </r>
    <r>
      <rPr>
        <sz val="10"/>
        <rFont val="Arial"/>
        <family val="2"/>
      </rPr>
      <t xml:space="preserve"> and Φ</t>
    </r>
    <r>
      <rPr>
        <vertAlign val="subscript"/>
        <sz val="10"/>
        <rFont val="Arial"/>
        <family val="2"/>
      </rPr>
      <t>m</t>
    </r>
    <r>
      <rPr>
        <sz val="10"/>
        <rFont val="Arial"/>
        <family val="2"/>
      </rPr>
      <t xml:space="preserve"> are reported in a single aggregated value as the Life Cycle Analysis is conducted for the whole system producing the metal Fm and Φm are disaggregated using a value given or a value read in a figure of the study we refer to. When such disaggregation is not possible, we assume 30% of energy consumption for mining processes.</t>
    </r>
  </si>
  <si>
    <t>Antoine Beylot, Dominique Guyonnet, Stéphanie Muller, Stéphane Vaxelaire, and Jacques Villeneuve. Mineral raw material requirements and associated climate-change impacts of the French energy transition by 2050. Journal of Cleaner Production, 208:1198–1205, January 2019. ISSN 09596526. doi:10.1016/j.jclepro.2018.10.154.</t>
  </si>
  <si>
    <t>Philip Nuss and Matthew J. Eckelman. Life Cycle Assessment of Metals: A Scientific Synthesis. PLoS ONE, 9(7), July 2014. ISSN 1932-6203. doi:10.1371/journal.pone.0101298.</t>
  </si>
  <si>
    <r>
      <t xml:space="preserve">International Energy Agency. Iron and Steel Technology Roadmap, 2020. 
</t>
    </r>
    <r>
      <rPr>
        <sz val="10"/>
        <color rgb="FF0000FF"/>
        <rFont val="Arial"/>
        <family val="2"/>
      </rPr>
      <t>https://www.iea.org/reports/iron-and-steel-technology-roadmap</t>
    </r>
    <r>
      <rPr>
        <sz val="10"/>
        <rFont val="Arial"/>
        <family val="2"/>
      </rPr>
      <t xml:space="preserve"> Accessed 19/12/2022.</t>
    </r>
  </si>
  <si>
    <r>
      <t xml:space="preserve">International Energy Agency. Report on Cement. 
</t>
    </r>
    <r>
      <rPr>
        <sz val="10"/>
        <color rgb="FF0000FF"/>
        <rFont val="Arial"/>
        <family val="2"/>
      </rPr>
      <t>https://www.iea.org/reports/cement</t>
    </r>
    <r>
      <rPr>
        <sz val="10"/>
        <rFont val="Arial"/>
        <family val="2"/>
      </rPr>
      <t xml:space="preserve"> Accessed 19/12/2022.</t>
    </r>
  </si>
  <si>
    <t>Terry Norgate and Sharif Jahanshahi. Reducing the greenhouse gas footprint of primary metal production: Where should the focus be? Minerals Engineering, 24(14):1563–1570, 2011. ISSN 08926875. doi:10.1016/j.mineng.2011.08.007.</t>
  </si>
  <si>
    <t>Guiomar Calvo, Alicia Valero, Antonio Valero. Thermodynamic Approach to Evaluate the Criticality of Raw Materials and Its Application through a Material Flow Analysis in Europe. Journal of Industrial Ecology, 22(4), 2017. doi: 10.1111/jiec.12624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</si>
</sst>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amily val="2"/>
    </font>
    <font>
      <b/>
      <sz val="24"/>
      <color rgb="FF000000"/>
      <name val="Arial"/>
      <family val="2"/>
    </font>
    <font>
      <sz val="18"/>
      <color rgb="FF000000"/>
      <name val="Arial"/>
      <family val="2"/>
    </font>
    <font>
      <sz val="12"/>
      <color rgb="FF000000"/>
      <name val="Arial"/>
      <family val="2"/>
    </font>
    <font>
      <sz val="10"/>
      <color rgb="FF333333"/>
      <name val="Arial"/>
      <family val="2"/>
    </font>
    <font>
      <i/>
      <sz val="10"/>
      <color rgb="FF808080"/>
      <name val="Arial"/>
      <family val="2"/>
    </font>
    <font>
      <u/>
      <sz val="10"/>
      <color rgb="FF0000EE"/>
      <name val="Arial"/>
      <family val="2"/>
    </font>
    <font>
      <sz val="10"/>
      <color rgb="FF006600"/>
      <name val="Arial"/>
      <family val="2"/>
    </font>
    <font>
      <sz val="10"/>
      <color rgb="FF996600"/>
      <name val="Arial"/>
      <family val="2"/>
    </font>
    <font>
      <sz val="10"/>
      <color rgb="FFCC0000"/>
      <name val="Arial"/>
      <family val="2"/>
    </font>
    <font>
      <b/>
      <sz val="10"/>
      <color rgb="FFFFFFFF"/>
      <name val="Arial"/>
      <family val="2"/>
    </font>
    <font>
      <b/>
      <sz val="10"/>
      <color rgb="FF000000"/>
      <name val="Arial"/>
      <family val="2"/>
    </font>
    <font>
      <sz val="10"/>
      <color rgb="FFFFFFFF"/>
      <name val="Arial"/>
      <family val="2"/>
    </font>
    <font>
      <b/>
      <sz val="11"/>
      <name val="Arial"/>
      <family val="2"/>
    </font>
    <font>
      <b/>
      <sz val="10"/>
      <name val="Arial"/>
      <family val="2"/>
    </font>
    <font>
      <b/>
      <u/>
      <sz val="10"/>
      <name val="Arial"/>
      <family val="2"/>
    </font>
    <font>
      <b/>
      <sz val="12"/>
      <name val="Arial"/>
      <family val="2"/>
    </font>
    <font>
      <b/>
      <vertAlign val="subscript"/>
      <sz val="12"/>
      <name val="Arial"/>
      <family val="2"/>
    </font>
    <font>
      <b/>
      <sz val="12"/>
      <name val="Arial"/>
    </font>
    <font>
      <b/>
      <vertAlign val="subscript"/>
      <sz val="12"/>
      <name val="Arial"/>
    </font>
    <font>
      <b/>
      <sz val="10"/>
      <name val="Arial"/>
    </font>
    <font>
      <vertAlign val="subscript"/>
      <sz val="10"/>
      <name val="Arial"/>
      <family val="2"/>
    </font>
    <font>
      <i/>
      <sz val="10"/>
      <name val="Arial"/>
      <family val="2"/>
    </font>
    <font>
      <sz val="10"/>
      <color rgb="FF0000FF"/>
      <name val="Arial"/>
      <family val="2"/>
    </font>
    <font>
      <sz val="10"/>
      <name val="Arial"/>
      <family val="2"/>
    </font>
  </fonts>
  <fills count="10">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D4EA6B"/>
        <bgColor rgb="FFCCFFCC"/>
      </patternFill>
    </fill>
  </fills>
  <borders count="2">
    <border>
      <left/>
      <right/>
      <top/>
      <bottom/>
      <diagonal/>
    </border>
    <border>
      <left style="thin">
        <color rgb="FF808080"/>
      </left>
      <right style="thin">
        <color rgb="FF808080"/>
      </right>
      <top style="thin">
        <color rgb="FF808080"/>
      </top>
      <bottom style="thin">
        <color rgb="FF808080"/>
      </bottom>
      <diagonal/>
    </border>
  </borders>
  <cellStyleXfs count="18">
    <xf numFmtId="0" fontId="0" fillId="0" borderId="0"/>
    <xf numFmtId="0" fontId="1" fillId="0" borderId="0" applyBorder="0" applyAlignment="0" applyProtection="0"/>
    <xf numFmtId="0" fontId="2" fillId="0" borderId="0" applyBorder="0" applyAlignment="0" applyProtection="0"/>
    <xf numFmtId="0" fontId="3" fillId="0" borderId="0" applyBorder="0" applyAlignment="0" applyProtection="0"/>
    <xf numFmtId="0" fontId="24" fillId="0" borderId="0" applyFont="0" applyBorder="0" applyAlignment="0" applyProtection="0"/>
    <xf numFmtId="0" fontId="4" fillId="2" borderId="1" applyAlignment="0" applyProtection="0"/>
    <xf numFmtId="0" fontId="5" fillId="0" borderId="0" applyBorder="0" applyAlignment="0" applyProtection="0"/>
    <xf numFmtId="0" fontId="6" fillId="0" borderId="0" applyBorder="0" applyAlignment="0" applyProtection="0"/>
    <xf numFmtId="0" fontId="24" fillId="0" borderId="0" applyFont="0" applyBorder="0" applyAlignment="0" applyProtection="0"/>
    <xf numFmtId="0" fontId="7" fillId="3" borderId="0" applyBorder="0" applyAlignment="0" applyProtection="0"/>
    <xf numFmtId="0" fontId="8" fillId="2" borderId="0" applyBorder="0" applyAlignment="0" applyProtection="0"/>
    <xf numFmtId="0" fontId="9" fillId="4" borderId="0" applyBorder="0" applyAlignment="0" applyProtection="0"/>
    <xf numFmtId="0" fontId="9" fillId="0" borderId="0" applyBorder="0" applyAlignment="0" applyProtection="0"/>
    <xf numFmtId="0" fontId="10" fillId="5" borderId="0" applyBorder="0" applyAlignment="0" applyProtection="0"/>
    <xf numFmtId="0" fontId="11" fillId="0" borderId="0" applyBorder="0" applyAlignment="0" applyProtection="0"/>
    <xf numFmtId="0" fontId="12" fillId="6" borderId="0" applyBorder="0" applyAlignment="0" applyProtection="0"/>
    <xf numFmtId="0" fontId="12" fillId="7" borderId="0" applyBorder="0" applyAlignment="0" applyProtection="0"/>
    <xf numFmtId="0" fontId="11" fillId="8" borderId="0" applyBorder="0" applyAlignment="0" applyProtection="0"/>
  </cellStyleXfs>
  <cellXfs count="23">
    <xf numFmtId="0" fontId="0" fillId="0" borderId="0" xfId="0"/>
    <xf numFmtId="0" fontId="13" fillId="0" borderId="0" xfId="0" applyFont="1" applyAlignment="1">
      <alignment horizontal="center"/>
    </xf>
    <xf numFmtId="0" fontId="0" fillId="0" borderId="0" xfId="0" applyAlignment="1">
      <alignment horizontal="right" vertical="center" wrapText="1"/>
    </xf>
    <xf numFmtId="0" fontId="0" fillId="0" borderId="0" xfId="0" applyAlignment="1">
      <alignment wrapText="1"/>
    </xf>
    <xf numFmtId="0" fontId="0" fillId="0" borderId="0" xfId="0" applyAlignment="1">
      <alignment horizontal="right" vertical="center"/>
    </xf>
    <xf numFmtId="0" fontId="0" fillId="0" borderId="0" xfId="0" applyAlignment="1">
      <alignment horizontal="right"/>
    </xf>
    <xf numFmtId="0" fontId="14" fillId="9" borderId="0" xfId="0" applyFont="1" applyFill="1" applyAlignment="1">
      <alignment horizontal="center"/>
    </xf>
    <xf numFmtId="0" fontId="14" fillId="0" borderId="0" xfId="0" applyFont="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15" fillId="0" borderId="0" xfId="0" applyFont="1"/>
    <xf numFmtId="0" fontId="14" fillId="0" borderId="0" xfId="0" applyFont="1"/>
    <xf numFmtId="0" fontId="16" fillId="9" borderId="0" xfId="0" applyFont="1" applyFill="1" applyAlignment="1">
      <alignment horizontal="center" vertical="center"/>
    </xf>
    <xf numFmtId="0" fontId="16" fillId="9" borderId="0" xfId="0" applyFont="1" applyFill="1" applyAlignment="1">
      <alignment horizontal="center" vertical="center" wrapText="1"/>
    </xf>
    <xf numFmtId="0" fontId="18" fillId="9" borderId="0" xfId="0" applyFont="1" applyFill="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right" vertical="top"/>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vertical="center" wrapText="1"/>
    </xf>
    <xf numFmtId="0" fontId="0" fillId="0" borderId="0" xfId="0" applyAlignment="1">
      <alignment vertical="center"/>
    </xf>
  </cellXfs>
  <cellStyles count="18">
    <cellStyle name="Accent" xfId="14"/>
    <cellStyle name="Accent 1" xfId="15"/>
    <cellStyle name="Accent 2" xfId="16"/>
    <cellStyle name="Accent 3" xfId="17"/>
    <cellStyle name="Bad" xfId="11"/>
    <cellStyle name="Error" xfId="13"/>
    <cellStyle name="Footnote" xfId="6"/>
    <cellStyle name="Good" xfId="9"/>
    <cellStyle name="Heading" xfId="1"/>
    <cellStyle name="Heading 1" xfId="2"/>
    <cellStyle name="Heading 2" xfId="3"/>
    <cellStyle name="Hyperlink" xfId="7"/>
    <cellStyle name="Neutral" xfId="10"/>
    <cellStyle name="Normal" xfId="0" builtinId="0"/>
    <cellStyle name="Note" xfId="5"/>
    <cellStyle name="Status" xfId="8"/>
    <cellStyle name="Text" xfId="4"/>
    <cellStyle name="Warning" xfId="12"/>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EE"/>
      <rgbColor rgb="FF00CCFF"/>
      <rgbColor rgb="FFCCFFFF"/>
      <rgbColor rgb="FFCCFFCC"/>
      <rgbColor rgb="FFD4EA6B"/>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1400175</xdr:colOff>
      <xdr:row>25</xdr:row>
      <xdr:rowOff>1628775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Normal="100" workbookViewId="0">
      <selection activeCell="B4" sqref="B4"/>
    </sheetView>
  </sheetViews>
  <sheetFormatPr defaultRowHeight="12.75" x14ac:dyDescent="0.2"/>
  <cols>
    <col min="1" max="1" width="22.140625" customWidth="1"/>
    <col min="2" max="2" width="99.140625" customWidth="1"/>
    <col min="3" max="1025" width="11.5703125"/>
  </cols>
  <sheetData>
    <row r="1" spans="1:2" s="1" customFormat="1" ht="15" x14ac:dyDescent="0.25">
      <c r="A1" s="1" t="s">
        <v>0</v>
      </c>
      <c r="B1" s="1" t="s">
        <v>1</v>
      </c>
    </row>
    <row r="2" spans="1:2" s="3" customFormat="1" ht="25.5" x14ac:dyDescent="0.2">
      <c r="A2" s="2" t="s">
        <v>2</v>
      </c>
      <c r="B2" s="3" t="s">
        <v>3</v>
      </c>
    </row>
    <row r="3" spans="1:2" ht="26.1" customHeight="1" x14ac:dyDescent="0.2">
      <c r="A3" s="4" t="s">
        <v>4</v>
      </c>
      <c r="B3" s="3" t="s">
        <v>5</v>
      </c>
    </row>
    <row r="4" spans="1:2" x14ac:dyDescent="0.2">
      <c r="A4" s="5" t="s">
        <v>6</v>
      </c>
      <c r="B4" t="s">
        <v>7</v>
      </c>
    </row>
  </sheetData>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B32" sqref="B32"/>
    </sheetView>
  </sheetViews>
  <sheetFormatPr defaultRowHeight="12.75" x14ac:dyDescent="0.2"/>
  <cols>
    <col min="1" max="1" width="14.28515625" customWidth="1"/>
    <col min="2" max="4" width="11.5703125"/>
    <col min="5" max="6" width="13.140625" customWidth="1"/>
    <col min="7" max="7" width="29.85546875" customWidth="1"/>
    <col min="8" max="8" width="53" customWidth="1"/>
    <col min="9" max="1025" width="11.5703125"/>
  </cols>
  <sheetData>
    <row r="1" spans="1:8" s="7" customFormat="1" x14ac:dyDescent="0.2">
      <c r="A1" s="6" t="s">
        <v>8</v>
      </c>
      <c r="B1" s="6" t="s">
        <v>9</v>
      </c>
      <c r="C1" s="6" t="s">
        <v>10</v>
      </c>
      <c r="D1" s="6" t="s">
        <v>11</v>
      </c>
      <c r="E1" s="6" t="s">
        <v>12</v>
      </c>
      <c r="F1" s="6" t="s">
        <v>13</v>
      </c>
      <c r="G1" s="6" t="s">
        <v>14</v>
      </c>
      <c r="H1" s="6" t="s">
        <v>15</v>
      </c>
    </row>
    <row r="2" spans="1:8" x14ac:dyDescent="0.2">
      <c r="A2" t="s">
        <v>16</v>
      </c>
      <c r="B2" t="s">
        <v>17</v>
      </c>
      <c r="C2">
        <v>21306.5</v>
      </c>
      <c r="D2">
        <v>759.5</v>
      </c>
      <c r="E2">
        <v>2030</v>
      </c>
      <c r="F2">
        <v>9400</v>
      </c>
      <c r="G2" s="8" t="s">
        <v>18</v>
      </c>
    </row>
    <row r="3" spans="1:8" x14ac:dyDescent="0.2">
      <c r="A3" t="s">
        <v>19</v>
      </c>
      <c r="B3" t="s">
        <v>17</v>
      </c>
      <c r="C3">
        <v>6.1</v>
      </c>
      <c r="G3" s="8" t="s">
        <v>18</v>
      </c>
    </row>
    <row r="4" spans="1:8" s="9" customFormat="1" ht="23.1" customHeight="1" x14ac:dyDescent="0.2">
      <c r="A4" s="9" t="s">
        <v>20</v>
      </c>
      <c r="B4" s="9" t="s">
        <v>17</v>
      </c>
      <c r="C4" s="9">
        <v>92700</v>
      </c>
      <c r="D4" s="9">
        <v>250000</v>
      </c>
      <c r="E4" s="9">
        <v>111000</v>
      </c>
      <c r="F4" s="9">
        <v>324000</v>
      </c>
      <c r="G4" s="10" t="s">
        <v>21</v>
      </c>
      <c r="H4" s="11" t="s">
        <v>22</v>
      </c>
    </row>
    <row r="5" spans="1:8" x14ac:dyDescent="0.2">
      <c r="A5" t="s">
        <v>23</v>
      </c>
      <c r="B5" t="s">
        <v>17</v>
      </c>
      <c r="E5">
        <v>22698</v>
      </c>
      <c r="F5">
        <v>72000</v>
      </c>
      <c r="G5" s="8" t="s">
        <v>18</v>
      </c>
    </row>
    <row r="6" spans="1:8" x14ac:dyDescent="0.2">
      <c r="A6" t="s">
        <v>24</v>
      </c>
      <c r="B6" t="s">
        <v>17</v>
      </c>
      <c r="C6">
        <v>7252</v>
      </c>
      <c r="D6">
        <v>3200</v>
      </c>
      <c r="E6">
        <v>2700</v>
      </c>
      <c r="F6">
        <v>22200</v>
      </c>
      <c r="G6" s="8" t="s">
        <v>18</v>
      </c>
    </row>
    <row r="7" spans="1:8" x14ac:dyDescent="0.2">
      <c r="A7" t="s">
        <v>25</v>
      </c>
      <c r="B7" t="s">
        <v>17</v>
      </c>
      <c r="C7">
        <v>0.3</v>
      </c>
      <c r="G7" s="8" t="s">
        <v>18</v>
      </c>
    </row>
    <row r="8" spans="1:8" x14ac:dyDescent="0.2">
      <c r="A8" t="s">
        <v>26</v>
      </c>
      <c r="B8" t="s">
        <v>17</v>
      </c>
      <c r="C8">
        <v>4.5</v>
      </c>
      <c r="G8" s="8" t="s">
        <v>18</v>
      </c>
    </row>
    <row r="9" spans="1:8" x14ac:dyDescent="0.2">
      <c r="A9" t="s">
        <v>27</v>
      </c>
      <c r="B9" t="s">
        <v>17</v>
      </c>
      <c r="C9">
        <v>132532.5</v>
      </c>
      <c r="D9">
        <v>1483333</v>
      </c>
      <c r="E9">
        <v>246833</v>
      </c>
      <c r="F9">
        <v>666667</v>
      </c>
      <c r="G9" s="8" t="s">
        <v>18</v>
      </c>
    </row>
    <row r="10" spans="1:8" x14ac:dyDescent="0.2">
      <c r="A10" t="s">
        <v>28</v>
      </c>
      <c r="B10" t="s">
        <v>17</v>
      </c>
      <c r="C10">
        <v>21.2</v>
      </c>
      <c r="G10" s="8" t="s">
        <v>18</v>
      </c>
    </row>
    <row r="11" spans="1:8" x14ac:dyDescent="0.2">
      <c r="A11" t="s">
        <v>29</v>
      </c>
      <c r="B11" t="s">
        <v>17</v>
      </c>
      <c r="C11">
        <v>53.5</v>
      </c>
      <c r="D11">
        <v>3080</v>
      </c>
      <c r="G11" s="8" t="s">
        <v>18</v>
      </c>
    </row>
    <row r="12" spans="1:8" x14ac:dyDescent="0.2">
      <c r="A12" t="s">
        <v>30</v>
      </c>
      <c r="B12" t="s">
        <v>17</v>
      </c>
      <c r="C12">
        <v>500</v>
      </c>
      <c r="D12">
        <v>2000</v>
      </c>
      <c r="G12" s="8" t="s">
        <v>18</v>
      </c>
    </row>
    <row r="13" spans="1:8" x14ac:dyDescent="0.2">
      <c r="A13" t="s">
        <v>31</v>
      </c>
      <c r="B13" t="s">
        <v>17</v>
      </c>
      <c r="C13">
        <v>50</v>
      </c>
      <c r="D13">
        <v>200</v>
      </c>
      <c r="G13" s="8" t="s">
        <v>18</v>
      </c>
    </row>
    <row r="14" spans="1:8" x14ac:dyDescent="0.2">
      <c r="A14" t="s">
        <v>32</v>
      </c>
      <c r="B14" t="s">
        <v>17</v>
      </c>
      <c r="C14">
        <v>148.19999999999999</v>
      </c>
      <c r="D14">
        <v>19200</v>
      </c>
      <c r="E14">
        <v>10088</v>
      </c>
      <c r="F14">
        <v>32000</v>
      </c>
      <c r="G14" s="8" t="s">
        <v>18</v>
      </c>
    </row>
    <row r="15" spans="1:8" x14ac:dyDescent="0.2">
      <c r="A15" t="s">
        <v>33</v>
      </c>
      <c r="B15" t="s">
        <v>17</v>
      </c>
      <c r="C15">
        <v>43000</v>
      </c>
      <c r="D15">
        <f>92000+1900</f>
        <v>93900</v>
      </c>
      <c r="E15">
        <v>16560</v>
      </c>
      <c r="F15">
        <v>16560</v>
      </c>
      <c r="G15" s="8" t="s">
        <v>18</v>
      </c>
    </row>
    <row r="16" spans="1:8" x14ac:dyDescent="0.2">
      <c r="A16" t="s">
        <v>34</v>
      </c>
      <c r="B16" t="s">
        <v>17</v>
      </c>
      <c r="C16">
        <v>47.7</v>
      </c>
      <c r="D16">
        <v>13.35</v>
      </c>
      <c r="G16" s="8" t="s">
        <v>18</v>
      </c>
    </row>
    <row r="17" spans="1:8" x14ac:dyDescent="0.2">
      <c r="A17" t="s">
        <v>35</v>
      </c>
      <c r="B17" t="s">
        <v>17</v>
      </c>
      <c r="C17">
        <v>4.7</v>
      </c>
      <c r="G17" s="8" t="s">
        <v>18</v>
      </c>
    </row>
    <row r="18" spans="1:8" x14ac:dyDescent="0.2">
      <c r="A18" t="s">
        <v>36</v>
      </c>
      <c r="B18" t="s">
        <v>17</v>
      </c>
      <c r="C18">
        <v>463</v>
      </c>
      <c r="G18" s="8" t="s">
        <v>18</v>
      </c>
    </row>
    <row r="19" spans="1:8" x14ac:dyDescent="0.2">
      <c r="A19" t="s">
        <v>37</v>
      </c>
      <c r="B19" t="s">
        <v>17</v>
      </c>
      <c r="C19">
        <v>6.25</v>
      </c>
      <c r="D19">
        <v>25</v>
      </c>
      <c r="G19" s="8" t="s">
        <v>18</v>
      </c>
    </row>
    <row r="20" spans="1:8" x14ac:dyDescent="0.2">
      <c r="A20" t="s">
        <v>38</v>
      </c>
      <c r="B20" t="s">
        <v>17</v>
      </c>
      <c r="C20">
        <v>0.47499999999999998</v>
      </c>
      <c r="D20">
        <v>1.9</v>
      </c>
      <c r="G20" s="8" t="s">
        <v>18</v>
      </c>
    </row>
    <row r="21" spans="1:8" x14ac:dyDescent="0.2">
      <c r="A21" t="s">
        <v>39</v>
      </c>
      <c r="B21" t="s">
        <v>17</v>
      </c>
      <c r="C21">
        <v>818</v>
      </c>
      <c r="D21">
        <v>650</v>
      </c>
      <c r="G21" s="8" t="s">
        <v>18</v>
      </c>
    </row>
    <row r="22" spans="1:8" x14ac:dyDescent="0.2">
      <c r="A22" t="s">
        <v>40</v>
      </c>
      <c r="B22" t="s">
        <v>17</v>
      </c>
      <c r="E22">
        <v>61</v>
      </c>
      <c r="F22">
        <v>183</v>
      </c>
      <c r="G22" s="8" t="s">
        <v>18</v>
      </c>
    </row>
    <row r="23" spans="1:8" x14ac:dyDescent="0.2">
      <c r="A23" t="s">
        <v>41</v>
      </c>
      <c r="B23" t="s">
        <v>17</v>
      </c>
      <c r="E23">
        <v>4.8600000000000003</v>
      </c>
      <c r="F23">
        <v>14.58</v>
      </c>
      <c r="G23" s="8" t="s">
        <v>18</v>
      </c>
    </row>
    <row r="25" spans="1:8" x14ac:dyDescent="0.2">
      <c r="A25" s="12" t="s">
        <v>42</v>
      </c>
    </row>
    <row r="27" spans="1:8" x14ac:dyDescent="0.2">
      <c r="A27" s="13" t="s">
        <v>43</v>
      </c>
    </row>
    <row r="28" spans="1:8" s="9" customFormat="1" ht="35.1" customHeight="1" x14ac:dyDescent="0.2">
      <c r="A28" s="4" t="s">
        <v>18</v>
      </c>
      <c r="B28" s="19" t="s">
        <v>44</v>
      </c>
      <c r="C28" s="19"/>
      <c r="D28" s="19"/>
      <c r="E28" s="19"/>
      <c r="F28" s="19"/>
      <c r="G28" s="19"/>
      <c r="H28" s="19"/>
    </row>
    <row r="29" spans="1:8" s="9" customFormat="1" ht="35.1" customHeight="1" x14ac:dyDescent="0.2">
      <c r="A29" s="4" t="s">
        <v>45</v>
      </c>
      <c r="B29" s="19" t="s">
        <v>96</v>
      </c>
      <c r="C29" s="19"/>
      <c r="D29" s="19"/>
      <c r="E29" s="19"/>
      <c r="F29" s="19"/>
      <c r="G29" s="19"/>
      <c r="H29" s="19"/>
    </row>
  </sheetData>
  <mergeCells count="2">
    <mergeCell ref="B28:H28"/>
    <mergeCell ref="B29:H29"/>
  </mergeCells>
  <pageMargins left="0.78749999999999998" right="0.78749999999999998" top="1.0249999999999999" bottom="1.0249999999999999" header="0.78749999999999998" footer="0.78749999999999998"/>
  <pageSetup paperSize="9" orientation="portrait"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40"/>
  <sheetViews>
    <sheetView tabSelected="1" zoomScaleNormal="100" workbookViewId="0">
      <selection activeCell="A38" sqref="A38"/>
    </sheetView>
  </sheetViews>
  <sheetFormatPr defaultRowHeight="12.75" x14ac:dyDescent="0.2"/>
  <cols>
    <col min="1" max="1" width="14.28515625" customWidth="1"/>
    <col min="2" max="2" width="35" customWidth="1"/>
    <col min="3" max="3" width="20.28515625" customWidth="1"/>
    <col min="4" max="4" width="17.5703125" customWidth="1"/>
    <col min="5" max="7" width="11.5703125"/>
    <col min="8" max="8" width="81.7109375" style="11" customWidth="1"/>
    <col min="9" max="9" width="71.7109375" style="11" customWidth="1"/>
    <col min="10" max="1025" width="11.5703125"/>
  </cols>
  <sheetData>
    <row r="1" spans="1:1024" s="17" customFormat="1" ht="31.5" x14ac:dyDescent="0.2">
      <c r="A1" s="14" t="s">
        <v>8</v>
      </c>
      <c r="B1" s="15" t="s">
        <v>46</v>
      </c>
      <c r="C1" s="16" t="s">
        <v>47</v>
      </c>
      <c r="D1" s="15" t="s">
        <v>48</v>
      </c>
      <c r="E1" s="15" t="s">
        <v>49</v>
      </c>
      <c r="F1" s="16" t="s">
        <v>50</v>
      </c>
      <c r="G1" s="15" t="s">
        <v>51</v>
      </c>
      <c r="H1" s="15" t="s">
        <v>52</v>
      </c>
      <c r="I1" s="15" t="s">
        <v>53</v>
      </c>
      <c r="AMH1" s="9"/>
      <c r="AMI1"/>
      <c r="AMJ1"/>
    </row>
    <row r="2" spans="1:1024" x14ac:dyDescent="0.2">
      <c r="A2" s="9" t="s">
        <v>16</v>
      </c>
      <c r="B2">
        <v>31</v>
      </c>
      <c r="C2">
        <f>194-B2</f>
        <v>163</v>
      </c>
      <c r="D2">
        <v>16.05</v>
      </c>
      <c r="E2">
        <f t="shared" ref="E2:E23" si="0">B2*0.584</f>
        <v>18.103999999999999</v>
      </c>
      <c r="F2">
        <f t="shared" ref="F2:F23" si="1">C2*0.542</f>
        <v>88.346000000000004</v>
      </c>
      <c r="G2">
        <f t="shared" ref="G2:G23" si="2">D2*0.542</f>
        <v>8.6991000000000014</v>
      </c>
      <c r="H2" s="11" t="s">
        <v>54</v>
      </c>
      <c r="I2" s="11" t="s">
        <v>55</v>
      </c>
    </row>
    <row r="3" spans="1:1024" ht="15.75" x14ac:dyDescent="0.2">
      <c r="A3" s="9" t="s">
        <v>19</v>
      </c>
      <c r="B3">
        <v>16</v>
      </c>
      <c r="C3">
        <f>53-B3</f>
        <v>37</v>
      </c>
      <c r="D3">
        <f>0.25*(B3+C3)</f>
        <v>13.25</v>
      </c>
      <c r="E3">
        <f t="shared" si="0"/>
        <v>9.3439999999999994</v>
      </c>
      <c r="F3">
        <f t="shared" si="1"/>
        <v>20.054000000000002</v>
      </c>
      <c r="G3">
        <f t="shared" si="2"/>
        <v>7.1815000000000007</v>
      </c>
      <c r="H3" s="11" t="s">
        <v>56</v>
      </c>
      <c r="I3" s="11" t="s">
        <v>57</v>
      </c>
    </row>
    <row r="4" spans="1:1024" ht="51" x14ac:dyDescent="0.2">
      <c r="A4" s="9" t="s">
        <v>20</v>
      </c>
      <c r="B4">
        <v>0</v>
      </c>
      <c r="C4">
        <f>3.4/(0.7*0.542)</f>
        <v>8.9615181866104372</v>
      </c>
      <c r="D4">
        <f>C4</f>
        <v>8.9615181866104372</v>
      </c>
      <c r="E4">
        <f t="shared" si="0"/>
        <v>0</v>
      </c>
      <c r="F4">
        <f t="shared" si="1"/>
        <v>4.8571428571428577</v>
      </c>
      <c r="G4">
        <f t="shared" si="2"/>
        <v>4.8571428571428577</v>
      </c>
      <c r="H4" s="11" t="s">
        <v>58</v>
      </c>
      <c r="I4" s="11" t="s">
        <v>59</v>
      </c>
    </row>
    <row r="5" spans="1:1024" ht="31.5" x14ac:dyDescent="0.2">
      <c r="A5" s="9" t="s">
        <v>23</v>
      </c>
      <c r="B5">
        <f>(577*0.05+37.3*0.03)/2</f>
        <v>14.984500000000001</v>
      </c>
      <c r="C5">
        <f>40.2-B5</f>
        <v>25.215500000000002</v>
      </c>
      <c r="D5">
        <f>0.25*(B5+C5)</f>
        <v>10.050000000000001</v>
      </c>
      <c r="E5">
        <f t="shared" si="0"/>
        <v>8.7509479999999993</v>
      </c>
      <c r="F5">
        <f t="shared" si="1"/>
        <v>13.666801000000001</v>
      </c>
      <c r="G5">
        <f t="shared" si="2"/>
        <v>5.4471000000000007</v>
      </c>
      <c r="H5" s="11" t="s">
        <v>60</v>
      </c>
      <c r="I5" s="11" t="s">
        <v>57</v>
      </c>
    </row>
    <row r="6" spans="1:1024" x14ac:dyDescent="0.2">
      <c r="A6" s="9" t="s">
        <v>24</v>
      </c>
      <c r="B6">
        <v>30</v>
      </c>
      <c r="C6">
        <f>60-B6</f>
        <v>30</v>
      </c>
      <c r="D6">
        <v>14.95</v>
      </c>
      <c r="E6">
        <f t="shared" si="0"/>
        <v>17.52</v>
      </c>
      <c r="F6">
        <f t="shared" si="1"/>
        <v>16.260000000000002</v>
      </c>
      <c r="G6">
        <f t="shared" si="2"/>
        <v>8.1029</v>
      </c>
      <c r="H6" s="11" t="s">
        <v>61</v>
      </c>
      <c r="I6" s="11" t="s">
        <v>62</v>
      </c>
    </row>
    <row r="7" spans="1:1024" ht="15.75" x14ac:dyDescent="0.2">
      <c r="A7" s="9" t="s">
        <v>25</v>
      </c>
      <c r="B7">
        <v>909</v>
      </c>
      <c r="C7">
        <f>3030-B7</f>
        <v>2121</v>
      </c>
      <c r="D7">
        <f>0.25*(B7+C7)</f>
        <v>757.5</v>
      </c>
      <c r="E7">
        <f t="shared" si="0"/>
        <v>530.85599999999999</v>
      </c>
      <c r="F7">
        <f t="shared" si="1"/>
        <v>1149.5820000000001</v>
      </c>
      <c r="G7">
        <f t="shared" si="2"/>
        <v>410.56500000000005</v>
      </c>
      <c r="H7" s="11" t="s">
        <v>56</v>
      </c>
      <c r="I7" s="11" t="s">
        <v>57</v>
      </c>
    </row>
    <row r="8" spans="1:1024" ht="15.75" x14ac:dyDescent="0.2">
      <c r="A8" s="9" t="s">
        <v>26</v>
      </c>
      <c r="B8">
        <v>238</v>
      </c>
      <c r="C8">
        <f>1720-B8</f>
        <v>1482</v>
      </c>
      <c r="D8">
        <f>0.25*(B8+C8)</f>
        <v>430</v>
      </c>
      <c r="E8">
        <f t="shared" si="0"/>
        <v>138.99199999999999</v>
      </c>
      <c r="F8">
        <f t="shared" si="1"/>
        <v>803.24400000000003</v>
      </c>
      <c r="G8">
        <f t="shared" si="2"/>
        <v>233.06</v>
      </c>
      <c r="H8" s="11" t="s">
        <v>63</v>
      </c>
      <c r="I8" s="11" t="s">
        <v>57</v>
      </c>
    </row>
    <row r="9" spans="1:1024" ht="66.75" x14ac:dyDescent="0.2">
      <c r="A9" s="9" t="s">
        <v>27</v>
      </c>
      <c r="B9">
        <v>0.7</v>
      </c>
      <c r="C9">
        <f>(19/0.542/1.66)-B9</f>
        <v>20.417681056328636</v>
      </c>
      <c r="D9">
        <f>(2.1/0.542)/1.66</f>
        <v>2.3340594851731651</v>
      </c>
      <c r="E9">
        <f t="shared" si="0"/>
        <v>0.40879999999999994</v>
      </c>
      <c r="F9">
        <f t="shared" si="1"/>
        <v>11.066383132530122</v>
      </c>
      <c r="G9">
        <f t="shared" si="2"/>
        <v>1.2650602409638556</v>
      </c>
      <c r="H9" s="11" t="s">
        <v>64</v>
      </c>
      <c r="I9" s="11" t="s">
        <v>65</v>
      </c>
    </row>
    <row r="10" spans="1:1024" ht="25.5" x14ac:dyDescent="0.2">
      <c r="A10" s="9" t="s">
        <v>28</v>
      </c>
      <c r="B10">
        <v>9.7650000000000006</v>
      </c>
      <c r="C10">
        <f>28-B10</f>
        <v>18.234999999999999</v>
      </c>
      <c r="D10">
        <v>11.05</v>
      </c>
      <c r="E10">
        <f t="shared" si="0"/>
        <v>5.7027599999999996</v>
      </c>
      <c r="F10">
        <f t="shared" si="1"/>
        <v>9.8833700000000011</v>
      </c>
      <c r="G10">
        <f t="shared" si="2"/>
        <v>5.9891000000000005</v>
      </c>
      <c r="H10" s="11" t="s">
        <v>66</v>
      </c>
      <c r="I10" s="11" t="s">
        <v>67</v>
      </c>
    </row>
    <row r="11" spans="1:1024" ht="15.75" x14ac:dyDescent="0.2">
      <c r="A11" s="9" t="s">
        <v>29</v>
      </c>
      <c r="B11">
        <v>2.8</v>
      </c>
      <c r="C11">
        <f>18.8-B11</f>
        <v>16</v>
      </c>
      <c r="D11">
        <f>0.25*(B11+C11)</f>
        <v>4.7</v>
      </c>
      <c r="E11">
        <f t="shared" si="0"/>
        <v>1.6351999999999998</v>
      </c>
      <c r="F11">
        <f t="shared" si="1"/>
        <v>8.6720000000000006</v>
      </c>
      <c r="G11">
        <f t="shared" si="2"/>
        <v>2.5474000000000001</v>
      </c>
      <c r="H11" s="11" t="s">
        <v>68</v>
      </c>
      <c r="I11" s="11" t="s">
        <v>57</v>
      </c>
    </row>
    <row r="12" spans="1:1024" ht="25.5" x14ac:dyDescent="0.2">
      <c r="A12" s="9" t="s">
        <v>30</v>
      </c>
      <c r="B12">
        <v>28.7</v>
      </c>
      <c r="C12">
        <f>B12/0.49*0.51</f>
        <v>29.87142857142857</v>
      </c>
      <c r="D12">
        <f>0.25*(B12+C12)</f>
        <v>14.642857142857142</v>
      </c>
      <c r="E12">
        <f t="shared" si="0"/>
        <v>16.7608</v>
      </c>
      <c r="F12">
        <f t="shared" si="1"/>
        <v>16.190314285714287</v>
      </c>
      <c r="G12">
        <f t="shared" si="2"/>
        <v>7.9364285714285714</v>
      </c>
      <c r="H12" s="11" t="s">
        <v>69</v>
      </c>
      <c r="I12" s="11" t="s">
        <v>57</v>
      </c>
    </row>
    <row r="13" spans="1:1024" ht="25.5" x14ac:dyDescent="0.2">
      <c r="A13" s="9" t="s">
        <v>31</v>
      </c>
      <c r="B13">
        <v>193</v>
      </c>
      <c r="C13">
        <f>B13/0.813*0.187</f>
        <v>44.392373923739243</v>
      </c>
      <c r="D13">
        <f>0.25*(B13+C13)</f>
        <v>59.348093480934807</v>
      </c>
      <c r="E13">
        <f t="shared" si="0"/>
        <v>112.71199999999999</v>
      </c>
      <c r="F13">
        <f t="shared" si="1"/>
        <v>24.06066666666667</v>
      </c>
      <c r="G13">
        <f t="shared" si="2"/>
        <v>32.166666666666664</v>
      </c>
      <c r="H13" s="11" t="s">
        <v>70</v>
      </c>
      <c r="I13" s="11" t="s">
        <v>57</v>
      </c>
    </row>
    <row r="14" spans="1:1024" ht="38.25" x14ac:dyDescent="0.2">
      <c r="A14" s="9" t="s">
        <v>32</v>
      </c>
      <c r="B14">
        <v>33.119999999999997</v>
      </c>
      <c r="C14">
        <f>130-B14</f>
        <v>96.88</v>
      </c>
      <c r="D14">
        <v>6.2</v>
      </c>
      <c r="E14">
        <f t="shared" si="0"/>
        <v>19.342079999999996</v>
      </c>
      <c r="F14">
        <f t="shared" si="1"/>
        <v>52.508960000000002</v>
      </c>
      <c r="G14">
        <f t="shared" si="2"/>
        <v>3.3604000000000003</v>
      </c>
      <c r="H14" s="11" t="s">
        <v>71</v>
      </c>
      <c r="I14" s="11" t="s">
        <v>67</v>
      </c>
    </row>
    <row r="15" spans="1:1024" ht="15.75" x14ac:dyDescent="0.2">
      <c r="A15" s="9" t="s">
        <v>33</v>
      </c>
      <c r="B15">
        <v>0.1</v>
      </c>
      <c r="C15">
        <v>0</v>
      </c>
      <c r="D15">
        <f>0.25*B15</f>
        <v>2.5000000000000001E-2</v>
      </c>
      <c r="E15">
        <f t="shared" si="0"/>
        <v>5.8400000000000001E-2</v>
      </c>
      <c r="F15">
        <f t="shared" si="1"/>
        <v>0</v>
      </c>
      <c r="G15">
        <f t="shared" si="2"/>
        <v>1.3550000000000001E-2</v>
      </c>
      <c r="H15" s="11" t="s">
        <v>72</v>
      </c>
      <c r="I15" s="11" t="s">
        <v>57</v>
      </c>
    </row>
    <row r="16" spans="1:1024" ht="76.5" x14ac:dyDescent="0.2">
      <c r="A16" s="9" t="s">
        <v>34</v>
      </c>
      <c r="B16">
        <f>(4620*0.17*0.5+690*0.28*0.3)/(0.28+0.17)</f>
        <v>1001.4666666666666</v>
      </c>
      <c r="C16">
        <f>(4620*0.17*0.5+690*0.28*0.7)/(0.28+0.17)</f>
        <v>1173.2</v>
      </c>
      <c r="D16">
        <v>139</v>
      </c>
      <c r="E16">
        <f t="shared" si="0"/>
        <v>584.85653333333323</v>
      </c>
      <c r="F16">
        <f t="shared" si="1"/>
        <v>635.87440000000004</v>
      </c>
      <c r="G16">
        <f t="shared" si="2"/>
        <v>75.338000000000008</v>
      </c>
      <c r="H16" s="11" t="s">
        <v>73</v>
      </c>
      <c r="I16" s="11" t="s">
        <v>67</v>
      </c>
    </row>
    <row r="17" spans="1:9" ht="15.75" x14ac:dyDescent="0.2">
      <c r="A17" s="9" t="s">
        <v>35</v>
      </c>
      <c r="B17">
        <v>43.5</v>
      </c>
      <c r="C17">
        <f>435-B17</f>
        <v>391.5</v>
      </c>
      <c r="D17">
        <f t="shared" ref="D17:D23" si="3">0.25*(B17+C17)</f>
        <v>108.75</v>
      </c>
      <c r="E17">
        <f t="shared" si="0"/>
        <v>25.404</v>
      </c>
      <c r="F17">
        <f t="shared" si="1"/>
        <v>212.19300000000001</v>
      </c>
      <c r="G17">
        <f t="shared" si="2"/>
        <v>58.942500000000003</v>
      </c>
      <c r="H17" s="11" t="s">
        <v>74</v>
      </c>
      <c r="I17" s="11" t="s">
        <v>57</v>
      </c>
    </row>
    <row r="18" spans="1:9" ht="15.75" x14ac:dyDescent="0.2">
      <c r="A18" s="9" t="s">
        <v>36</v>
      </c>
      <c r="B18">
        <v>96</v>
      </c>
      <c r="C18">
        <f>321-B18</f>
        <v>225</v>
      </c>
      <c r="D18">
        <f t="shared" si="3"/>
        <v>80.25</v>
      </c>
      <c r="E18">
        <f t="shared" si="0"/>
        <v>56.063999999999993</v>
      </c>
      <c r="F18">
        <f t="shared" si="1"/>
        <v>121.95</v>
      </c>
      <c r="G18">
        <f t="shared" si="2"/>
        <v>43.4955</v>
      </c>
      <c r="H18" s="11" t="s">
        <v>56</v>
      </c>
      <c r="I18" s="11" t="s">
        <v>57</v>
      </c>
    </row>
    <row r="19" spans="1:9" ht="25.5" x14ac:dyDescent="0.2">
      <c r="A19" s="9" t="s">
        <v>37</v>
      </c>
      <c r="B19">
        <f>0.14*(80.7+88)/2</f>
        <v>11.809000000000001</v>
      </c>
      <c r="C19">
        <f>(80.7+88)/2-B19</f>
        <v>72.540999999999997</v>
      </c>
      <c r="D19">
        <f t="shared" si="3"/>
        <v>21.087499999999999</v>
      </c>
      <c r="E19">
        <f t="shared" si="0"/>
        <v>6.8964560000000006</v>
      </c>
      <c r="F19">
        <f t="shared" si="1"/>
        <v>39.317222000000001</v>
      </c>
      <c r="G19">
        <f t="shared" si="2"/>
        <v>11.429425</v>
      </c>
      <c r="H19" s="11" t="s">
        <v>75</v>
      </c>
      <c r="I19" s="11" t="s">
        <v>57</v>
      </c>
    </row>
    <row r="20" spans="1:9" ht="15.75" x14ac:dyDescent="0.2">
      <c r="A20" s="9" t="s">
        <v>38</v>
      </c>
      <c r="B20">
        <v>155</v>
      </c>
      <c r="C20">
        <f>516-B20</f>
        <v>361</v>
      </c>
      <c r="D20">
        <f t="shared" si="3"/>
        <v>129</v>
      </c>
      <c r="E20">
        <f t="shared" si="0"/>
        <v>90.52</v>
      </c>
      <c r="F20">
        <f t="shared" si="1"/>
        <v>195.66200000000001</v>
      </c>
      <c r="G20">
        <f t="shared" si="2"/>
        <v>69.918000000000006</v>
      </c>
      <c r="H20" s="11" t="s">
        <v>56</v>
      </c>
      <c r="I20" s="11" t="s">
        <v>57</v>
      </c>
    </row>
    <row r="21" spans="1:9" ht="15.75" x14ac:dyDescent="0.2">
      <c r="A21" s="9" t="s">
        <v>39</v>
      </c>
      <c r="B21">
        <v>8.6999999999999993</v>
      </c>
      <c r="C21">
        <f>52.8-B21</f>
        <v>44.099999999999994</v>
      </c>
      <c r="D21">
        <f t="shared" si="3"/>
        <v>13.2</v>
      </c>
      <c r="E21">
        <f t="shared" si="0"/>
        <v>5.0807999999999991</v>
      </c>
      <c r="F21">
        <f t="shared" si="1"/>
        <v>23.902199999999997</v>
      </c>
      <c r="G21">
        <f t="shared" si="2"/>
        <v>7.1543999999999999</v>
      </c>
      <c r="H21" s="11" t="s">
        <v>76</v>
      </c>
      <c r="I21" s="11" t="s">
        <v>57</v>
      </c>
    </row>
    <row r="22" spans="1:9" ht="15.75" x14ac:dyDescent="0.2">
      <c r="A22" s="9" t="s">
        <v>40</v>
      </c>
      <c r="B22">
        <v>44.72</v>
      </c>
      <c r="C22">
        <f>B22/0.127-B22</f>
        <v>307.40598425196845</v>
      </c>
      <c r="D22">
        <f t="shared" si="3"/>
        <v>88.031496062992119</v>
      </c>
      <c r="E22">
        <f t="shared" si="0"/>
        <v>26.116479999999999</v>
      </c>
      <c r="F22">
        <f t="shared" si="1"/>
        <v>166.61404346456692</v>
      </c>
      <c r="G22">
        <f t="shared" si="2"/>
        <v>47.713070866141734</v>
      </c>
      <c r="H22" s="11" t="s">
        <v>77</v>
      </c>
      <c r="I22" s="11" t="s">
        <v>57</v>
      </c>
    </row>
    <row r="23" spans="1:9" ht="15.75" x14ac:dyDescent="0.2">
      <c r="A23" s="9" t="s">
        <v>41</v>
      </c>
      <c r="B23">
        <v>152.1</v>
      </c>
      <c r="C23">
        <f>B23/0.127-B23</f>
        <v>1045.5377952755905</v>
      </c>
      <c r="D23">
        <f t="shared" si="3"/>
        <v>299.4094488188976</v>
      </c>
      <c r="E23">
        <f t="shared" si="0"/>
        <v>88.826399999999992</v>
      </c>
      <c r="F23">
        <f t="shared" si="1"/>
        <v>566.68148503937005</v>
      </c>
      <c r="G23">
        <f t="shared" si="2"/>
        <v>162.27992125984252</v>
      </c>
      <c r="H23" s="11" t="s">
        <v>77</v>
      </c>
      <c r="I23" s="11" t="s">
        <v>57</v>
      </c>
    </row>
    <row r="26" spans="1:9" ht="193.5" customHeight="1" x14ac:dyDescent="0.2">
      <c r="A26" s="18" t="s">
        <v>78</v>
      </c>
      <c r="B26" s="20" t="s">
        <v>95</v>
      </c>
      <c r="C26" s="20"/>
      <c r="D26" s="20"/>
      <c r="E26" s="20"/>
      <c r="F26" s="20"/>
      <c r="G26" s="20"/>
    </row>
    <row r="29" spans="1:9" x14ac:dyDescent="0.2">
      <c r="A29" s="13" t="s">
        <v>43</v>
      </c>
    </row>
    <row r="30" spans="1:9" ht="35.1" customHeight="1" x14ac:dyDescent="0.2">
      <c r="A30" s="4" t="s">
        <v>79</v>
      </c>
      <c r="B30" s="21" t="s">
        <v>97</v>
      </c>
      <c r="C30" s="21"/>
      <c r="D30" s="21"/>
      <c r="E30" s="21"/>
      <c r="F30" s="21"/>
      <c r="G30" s="21"/>
    </row>
    <row r="31" spans="1:9" ht="35.1" customHeight="1" x14ac:dyDescent="0.2">
      <c r="A31" s="4" t="s">
        <v>80</v>
      </c>
      <c r="B31" s="21" t="s">
        <v>98</v>
      </c>
      <c r="C31" s="22"/>
      <c r="D31" s="22"/>
      <c r="E31" s="22"/>
      <c r="F31" s="22"/>
      <c r="G31" s="22"/>
    </row>
    <row r="32" spans="1:9" ht="35.1" customHeight="1" x14ac:dyDescent="0.2">
      <c r="A32" s="4" t="s">
        <v>81</v>
      </c>
      <c r="B32" s="22" t="s">
        <v>82</v>
      </c>
      <c r="C32" s="22"/>
      <c r="D32" s="22"/>
      <c r="E32" s="22"/>
      <c r="F32" s="22"/>
      <c r="G32" s="22"/>
    </row>
    <row r="33" spans="1:7" ht="35.1" customHeight="1" x14ac:dyDescent="0.2">
      <c r="A33" s="4" t="s">
        <v>83</v>
      </c>
      <c r="B33" s="21" t="s">
        <v>99</v>
      </c>
      <c r="C33" s="22"/>
      <c r="D33" s="22"/>
      <c r="E33" s="22"/>
      <c r="F33" s="22"/>
      <c r="G33" s="22"/>
    </row>
    <row r="34" spans="1:7" ht="35.1" customHeight="1" x14ac:dyDescent="0.2">
      <c r="A34" s="4" t="s">
        <v>84</v>
      </c>
      <c r="B34" s="21" t="s">
        <v>100</v>
      </c>
      <c r="C34" s="21"/>
      <c r="D34" s="21"/>
      <c r="E34" s="21"/>
      <c r="F34" s="21"/>
      <c r="G34" s="21"/>
    </row>
    <row r="35" spans="1:7" ht="35.1" customHeight="1" x14ac:dyDescent="0.2">
      <c r="A35" s="4" t="s">
        <v>85</v>
      </c>
      <c r="B35" s="21" t="s">
        <v>101</v>
      </c>
      <c r="C35" s="21"/>
      <c r="D35" s="21"/>
      <c r="E35" s="21"/>
      <c r="F35" s="21"/>
      <c r="G35" s="21"/>
    </row>
    <row r="36" spans="1:7" ht="35.1" customHeight="1" x14ac:dyDescent="0.2">
      <c r="A36" s="4" t="s">
        <v>86</v>
      </c>
      <c r="B36" s="21" t="s">
        <v>87</v>
      </c>
      <c r="C36" s="21"/>
      <c r="D36" s="21"/>
      <c r="E36" s="21"/>
      <c r="F36" s="21"/>
      <c r="G36" s="21"/>
    </row>
    <row r="37" spans="1:7" ht="35.1" customHeight="1" x14ac:dyDescent="0.2">
      <c r="A37" s="4" t="s">
        <v>88</v>
      </c>
      <c r="B37" s="21" t="s">
        <v>89</v>
      </c>
      <c r="C37" s="21"/>
      <c r="D37" s="21"/>
      <c r="E37" s="21"/>
      <c r="F37" s="21"/>
      <c r="G37" s="21"/>
    </row>
    <row r="38" spans="1:7" ht="35.1" customHeight="1" x14ac:dyDescent="0.2">
      <c r="A38" s="4" t="s">
        <v>90</v>
      </c>
      <c r="B38" s="21" t="s">
        <v>91</v>
      </c>
      <c r="C38" s="21"/>
      <c r="D38" s="21"/>
      <c r="E38" s="21"/>
      <c r="F38" s="21"/>
      <c r="G38" s="21"/>
    </row>
    <row r="39" spans="1:7" x14ac:dyDescent="0.2">
      <c r="A39" s="4"/>
    </row>
    <row r="40" spans="1:7" x14ac:dyDescent="0.2">
      <c r="A40" s="4"/>
    </row>
  </sheetData>
  <mergeCells count="10">
    <mergeCell ref="B36:G36"/>
    <mergeCell ref="B37:G37"/>
    <mergeCell ref="B38:G38"/>
    <mergeCell ref="B31:G31"/>
    <mergeCell ref="B26:G26"/>
    <mergeCell ref="B30:G30"/>
    <mergeCell ref="B32:G32"/>
    <mergeCell ref="B33:G33"/>
    <mergeCell ref="B34:G34"/>
    <mergeCell ref="B35:G35"/>
  </mergeCells>
  <pageMargins left="0.78749999999999998" right="0.78749999999999998" top="1.0249999999999999" bottom="1.0249999999999999" header="0.78749999999999998" footer="0.78749999999999998"/>
  <pageSetup paperSize="9" orientation="portrait" horizontalDpi="300" verticalDpi="300"/>
  <headerFooter>
    <oddHeader>&amp;C&amp;A</oddHeader>
    <oddFooter>&amp;CPage &amp;P</oddFooter>
  </headerFooter>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activeCell="B9" sqref="B9"/>
    </sheetView>
  </sheetViews>
  <sheetFormatPr defaultRowHeight="12.75" x14ac:dyDescent="0.2"/>
  <cols>
    <col min="1" max="1" width="11.5703125"/>
    <col min="2" max="2" width="27.7109375" customWidth="1"/>
    <col min="3" max="3" width="18.28515625" customWidth="1"/>
    <col min="4" max="1025" width="11.5703125"/>
  </cols>
  <sheetData>
    <row r="1" spans="1:3" x14ac:dyDescent="0.2">
      <c r="A1" s="6" t="s">
        <v>8</v>
      </c>
      <c r="B1" s="6" t="s">
        <v>92</v>
      </c>
      <c r="C1" s="6" t="s">
        <v>93</v>
      </c>
    </row>
    <row r="2" spans="1:3" x14ac:dyDescent="0.2">
      <c r="A2" t="s">
        <v>16</v>
      </c>
      <c r="B2">
        <v>0.15</v>
      </c>
      <c r="C2">
        <f>B2*'2_energy_intensities'!E2</f>
        <v>2.7155999999999998</v>
      </c>
    </row>
    <row r="3" spans="1:3" x14ac:dyDescent="0.2">
      <c r="A3" t="s">
        <v>19</v>
      </c>
      <c r="B3">
        <v>0.5</v>
      </c>
      <c r="C3">
        <f>B3*'2_energy_intensities'!E3</f>
        <v>4.6719999999999997</v>
      </c>
    </row>
    <row r="4" spans="1:3" x14ac:dyDescent="0.2">
      <c r="A4" s="9" t="s">
        <v>20</v>
      </c>
      <c r="B4">
        <v>0</v>
      </c>
      <c r="C4">
        <f>B4*'2_energy_intensities'!E4</f>
        <v>0</v>
      </c>
    </row>
    <row r="5" spans="1:3" x14ac:dyDescent="0.2">
      <c r="A5" t="s">
        <v>23</v>
      </c>
      <c r="B5">
        <v>0.5</v>
      </c>
      <c r="C5">
        <f>B5*'2_energy_intensities'!E5</f>
        <v>4.3754739999999996</v>
      </c>
    </row>
    <row r="6" spans="1:3" x14ac:dyDescent="0.2">
      <c r="A6" t="s">
        <v>24</v>
      </c>
      <c r="B6">
        <v>0.3</v>
      </c>
      <c r="C6">
        <f>B6*'2_energy_intensities'!E6</f>
        <v>5.2559999999999993</v>
      </c>
    </row>
    <row r="7" spans="1:3" x14ac:dyDescent="0.2">
      <c r="A7" t="s">
        <v>25</v>
      </c>
      <c r="B7">
        <v>0.5</v>
      </c>
      <c r="C7">
        <f>B7*'2_energy_intensities'!E7</f>
        <v>265.428</v>
      </c>
    </row>
    <row r="8" spans="1:3" x14ac:dyDescent="0.2">
      <c r="A8" t="s">
        <v>26</v>
      </c>
      <c r="B8">
        <v>0.5</v>
      </c>
      <c r="C8">
        <f>B8*'2_energy_intensities'!E8</f>
        <v>69.495999999999995</v>
      </c>
    </row>
    <row r="9" spans="1:3" x14ac:dyDescent="0.2">
      <c r="A9" t="s">
        <v>27</v>
      </c>
      <c r="B9">
        <v>0.15</v>
      </c>
      <c r="C9">
        <f>B9*'2_energy_intensities'!E9</f>
        <v>6.1319999999999986E-2</v>
      </c>
    </row>
    <row r="10" spans="1:3" x14ac:dyDescent="0.2">
      <c r="A10" t="s">
        <v>28</v>
      </c>
      <c r="B10">
        <v>0.15</v>
      </c>
      <c r="C10">
        <f>B10*'2_energy_intensities'!E10</f>
        <v>0.8554139999999999</v>
      </c>
    </row>
    <row r="11" spans="1:3" x14ac:dyDescent="0.2">
      <c r="A11" t="s">
        <v>29</v>
      </c>
      <c r="B11">
        <v>0.5</v>
      </c>
      <c r="C11">
        <f>B11*'2_energy_intensities'!E11</f>
        <v>0.81759999999999988</v>
      </c>
    </row>
    <row r="12" spans="1:3" x14ac:dyDescent="0.2">
      <c r="A12" t="s">
        <v>30</v>
      </c>
      <c r="B12">
        <v>0.5</v>
      </c>
      <c r="C12">
        <f>B12*'2_energy_intensities'!E12</f>
        <v>8.3803999999999998</v>
      </c>
    </row>
    <row r="13" spans="1:3" x14ac:dyDescent="0.2">
      <c r="A13" t="s">
        <v>31</v>
      </c>
      <c r="B13">
        <v>0.5</v>
      </c>
      <c r="C13">
        <f>B13*'2_energy_intensities'!E13</f>
        <v>56.355999999999995</v>
      </c>
    </row>
    <row r="14" spans="1:3" x14ac:dyDescent="0.2">
      <c r="A14" t="s">
        <v>32</v>
      </c>
      <c r="B14">
        <v>0.15</v>
      </c>
      <c r="C14">
        <f>B14*'2_energy_intensities'!E14</f>
        <v>2.9013119999999994</v>
      </c>
    </row>
    <row r="15" spans="1:3" x14ac:dyDescent="0.2">
      <c r="A15" t="s">
        <v>33</v>
      </c>
      <c r="B15">
        <v>0.5</v>
      </c>
      <c r="C15">
        <f>B15*'2_energy_intensities'!E15</f>
        <v>2.92E-2</v>
      </c>
    </row>
    <row r="16" spans="1:3" x14ac:dyDescent="0.2">
      <c r="A16" t="s">
        <v>34</v>
      </c>
      <c r="B16">
        <v>0.3</v>
      </c>
      <c r="C16">
        <f>B16*'2_energy_intensities'!E16</f>
        <v>175.45695999999995</v>
      </c>
    </row>
    <row r="17" spans="1:7" x14ac:dyDescent="0.2">
      <c r="A17" t="s">
        <v>35</v>
      </c>
      <c r="B17">
        <v>0.5</v>
      </c>
      <c r="C17">
        <f>B17*'2_energy_intensities'!E17</f>
        <v>12.702</v>
      </c>
    </row>
    <row r="18" spans="1:7" x14ac:dyDescent="0.2">
      <c r="A18" t="s">
        <v>36</v>
      </c>
      <c r="B18">
        <v>0.5</v>
      </c>
      <c r="C18">
        <f>B18*'2_energy_intensities'!E18</f>
        <v>28.031999999999996</v>
      </c>
    </row>
    <row r="19" spans="1:7" x14ac:dyDescent="0.2">
      <c r="A19" t="s">
        <v>37</v>
      </c>
      <c r="B19">
        <v>0.5</v>
      </c>
      <c r="C19">
        <f>B19*'2_energy_intensities'!E19</f>
        <v>3.4482280000000003</v>
      </c>
    </row>
    <row r="20" spans="1:7" x14ac:dyDescent="0.2">
      <c r="A20" t="s">
        <v>38</v>
      </c>
      <c r="B20">
        <v>0.5</v>
      </c>
      <c r="C20">
        <f>B20*'2_energy_intensities'!E20</f>
        <v>45.26</v>
      </c>
    </row>
    <row r="21" spans="1:7" x14ac:dyDescent="0.2">
      <c r="A21" t="s">
        <v>39</v>
      </c>
      <c r="B21">
        <v>0.15</v>
      </c>
      <c r="C21">
        <f>B21*'2_energy_intensities'!E21</f>
        <v>0.7621199999999998</v>
      </c>
    </row>
    <row r="22" spans="1:7" x14ac:dyDescent="0.2">
      <c r="A22" t="s">
        <v>40</v>
      </c>
      <c r="B22">
        <v>0.5</v>
      </c>
      <c r="C22">
        <f>B22*'2_energy_intensities'!E22</f>
        <v>13.05824</v>
      </c>
    </row>
    <row r="23" spans="1:7" x14ac:dyDescent="0.2">
      <c r="A23" t="s">
        <v>41</v>
      </c>
      <c r="B23">
        <v>0.5</v>
      </c>
      <c r="C23">
        <f>B23*'2_energy_intensities'!E23</f>
        <v>44.413199999999996</v>
      </c>
    </row>
    <row r="26" spans="1:7" ht="161.25" customHeight="1" x14ac:dyDescent="0.2">
      <c r="A26" s="18" t="s">
        <v>78</v>
      </c>
      <c r="B26" s="19" t="s">
        <v>94</v>
      </c>
      <c r="C26" s="19"/>
      <c r="D26" s="19"/>
      <c r="E26" s="19"/>
      <c r="F26" s="19"/>
      <c r="G26" s="19"/>
    </row>
  </sheetData>
  <mergeCells count="1">
    <mergeCell ref="B26:G26"/>
  </mergeCells>
  <pageMargins left="0.78749999999999998" right="0.78749999999999998" top="1.0249999999999999" bottom="1.0249999999999999" header="0.78749999999999998" footer="0.78749999999999998"/>
  <pageSetup paperSize="9" orientation="portrait" horizontalDpi="300" verticalDpi="300"/>
  <headerFooter>
    <oddHeader>&amp;C&amp;A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AEB3905992E54BBAD901A47ED1CA8C" ma:contentTypeVersion="16" ma:contentTypeDescription="Create a new document." ma:contentTypeScope="" ma:versionID="0659afec1571c1fe7eac513a826f9939">
  <xsd:schema xmlns:xsd="http://www.w3.org/2001/XMLSchema" xmlns:xs="http://www.w3.org/2001/XMLSchema" xmlns:p="http://schemas.microsoft.com/office/2006/metadata/properties" xmlns:ns2="1c66cb88-db77-4d42-9dc4-fb37066edc24" xmlns:ns3="7cf861dc-a431-4ef3-8baf-d03d54e74a07" targetNamespace="http://schemas.microsoft.com/office/2006/metadata/properties" ma:root="true" ma:fieldsID="70a5e194532dc8897611d878fd2d1562" ns2:_="" ns3:_="">
    <xsd:import namespace="1c66cb88-db77-4d42-9dc4-fb37066edc24"/>
    <xsd:import namespace="7cf861dc-a431-4ef3-8baf-d03d54e74a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66cb88-db77-4d42-9dc4-fb37066edc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f861dc-a431-4ef3-8baf-d03d54e74a0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91ac723-6a7a-431d-b784-496353a11c74}" ma:internalName="TaxCatchAll" ma:showField="CatchAllData" ma:web="7cf861dc-a431-4ef3-8baf-d03d54e74a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c66cb88-db77-4d42-9dc4-fb37066edc24">
      <Terms xmlns="http://schemas.microsoft.com/office/infopath/2007/PartnerControls"/>
    </lcf76f155ced4ddcb4097134ff3c332f>
    <TaxCatchAll xmlns="7cf861dc-a431-4ef3-8baf-d03d54e74a07" xsi:nil="true"/>
  </documentManagement>
</p:properties>
</file>

<file path=customXml/itemProps1.xml><?xml version="1.0" encoding="utf-8"?>
<ds:datastoreItem xmlns:ds="http://schemas.openxmlformats.org/officeDocument/2006/customXml" ds:itemID="{60A52E15-B7A9-459F-91EB-E88016EA7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66cb88-db77-4d42-9dc4-fb37066edc24"/>
    <ds:schemaRef ds:uri="7cf861dc-a431-4ef3-8baf-d03d54e74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3EAC2F-39E6-4B33-916F-7BD5ACB4305C}">
  <ds:schemaRefs>
    <ds:schemaRef ds:uri="http://schemas.microsoft.com/sharepoint/v3/contenttype/forms"/>
  </ds:schemaRefs>
</ds:datastoreItem>
</file>

<file path=customXml/itemProps3.xml><?xml version="1.0" encoding="utf-8"?>
<ds:datastoreItem xmlns:ds="http://schemas.openxmlformats.org/officeDocument/2006/customXml" ds:itemID="{D7D12F58-95C7-4C01-B9A0-DCCCD747B373}">
  <ds:schemaRefs>
    <ds:schemaRef ds:uri="http://schemas.microsoft.com/office/2006/metadata/properties"/>
    <ds:schemaRef ds:uri="http://schemas.microsoft.com/office/infopath/2007/PartnerControls"/>
    <ds:schemaRef ds:uri="1c66cb88-db77-4d42-9dc4-fb37066edc24"/>
    <ds:schemaRef ds:uri="7cf861dc-a431-4ef3-8baf-d03d54e74a0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1_material_requirements</vt:lpstr>
      <vt:lpstr>2_energy_intensities</vt:lpstr>
      <vt:lpstr>3_probability_function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Emmanuel Aramendia [RPG]</cp:lastModifiedBy>
  <cp:revision>257</cp:revision>
  <dcterms:created xsi:type="dcterms:W3CDTF">2022-03-31T10:17:07Z</dcterms:created>
  <dcterms:modified xsi:type="dcterms:W3CDTF">2023-04-13T11:31:36Z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0x01010068AEB3905992E54BBAD901A47ED1CA8C</vt:lpwstr>
  </property>
  <property fmtid="{D5CDD505-2E9C-101B-9397-08002B2CF9AE}" pid="3" name="MediaServiceImageTags">
    <vt:lpwstr/>
  </property>
</Properties>
</file>